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I:\Betriebsleitung\Info\Konfliktmaterialien CMRT_EMRT_PRT\"/>
    </mc:Choice>
  </mc:AlternateContent>
  <xr:revisionPtr revIDLastSave="0" documentId="8_{B2A2E665-EEBB-4B23-9752-3DB2AAE40F54}"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0" yWindow="600" windowWidth="1440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P3" i="4"/>
  <c r="E4"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G64" i="6" a="1"/>
  <c r="G64" i="6"/>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<sst xmlns="http://schemas.openxmlformats.org/spreadsheetml/2006/main" count="22408" uniqueCount="15809">
  <si>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</si>
  <si>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</si>
  <si>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</si>
  <si>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</si>
  <si>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</si>
  <si>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</si>
  <si>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</si>
  <si>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</si>
  <si>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</si>
  <si>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</si>
  <si>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</si>
  <si>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</si>
  <si>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</si>
  <si>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</si>
  <si>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</si>
  <si>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</si>
  <si>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</si>
  <si>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</si>
  <si>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</si>
  <si>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</si>
  <si>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</si>
  <si>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</si>
  <si>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</si>
  <si>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</si>
  <si>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</si>
  <si>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</si>
  <si>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</si>
  <si>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</si>
  <si>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</si>
  <si>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</si>
  <si>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</si>
  <si>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</si>
  <si>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</si>
  <si>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</si>
  <si>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</si>
  <si>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</si>
  <si>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</si>
  <si>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</si>
  <si>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</si>
  <si>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</si>
  <si>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</si>
  <si>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</si>
  <si>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</si>
  <si>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</si>
  <si>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</si>
  <si>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</si>
  <si>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</si>
  <si>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</si>
  <si>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</si>
  <si>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</si>
  <si>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</si>
  <si>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</si>
  <si>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</si>
  <si>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</si>
  <si>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</si>
  <si>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</si>
  <si>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</si>
  <si>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</si>
  <si>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</si>
  <si>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</si>
  <si>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</si>
  <si>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</si>
  <si>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</si>
  <si>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</si>
  <si>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</si>
  <si>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</si>
  <si>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</si>
  <si>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</si>
  <si>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</si>
  <si>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</si>
  <si>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</si>
  <si>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</si>
  <si>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</si>
  <si>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</si>
  <si>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</si>
  <si>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</si>
  <si>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</si>
  <si>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</si>
  <si>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</si>
  <si>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</si>
  <si>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</si>
  <si>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</si>
  <si>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</si>
  <si>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</si>
  <si>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</si>
  <si>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</si>
  <si>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</si>
  <si>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</si>
  <si>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</si>
  <si>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</si>
  <si>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</si>
  <si>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</si>
  <si>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</si>
  <si>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</si>
  <si>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</si>
  <si>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</si>
  <si>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</si>
  <si>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</si>
  <si>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</si>
  <si>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</si>
  <si>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</si>
  <si>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</si>
  <si>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</si>
  <si>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</si>
  <si>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</si>
  <si>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</si>
  <si>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</si>
  <si>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</si>
  <si>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</si>
  <si>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</si>
  <si>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</si>
  <si>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</si>
  <si>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</si>
  <si>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</si>
  <si>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</si>
  <si>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</si>
  <si>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</si>
  <si>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</si>
  <si>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</si>
  <si>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</si>
  <si>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</si>
  <si>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</si>
  <si>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</si>
  <si>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</si>
  <si>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</si>
  <si>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</si>
  <si>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</si>
  <si>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</si>
  <si>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</si>
  <si>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</si>
  <si>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</si>
  <si>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</si>
  <si>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</si>
  <si>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</si>
  <si>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</si>
  <si>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</si>
  <si>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</si>
  <si>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</si>
  <si>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</si>
  <si>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</si>
  <si>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</si>
  <si>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</si>
  <si>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</si>
  <si>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</si>
  <si>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</si>
  <si>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</si>
  <si>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</si>
  <si>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</si>
  <si>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</si>
  <si>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</si>
  <si>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</si>
  <si>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</si>
  <si>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</si>
  <si>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</si>
  <si>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</si>
  <si>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</si>
  <si>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</si>
  <si>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</si>
  <si>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</si>
  <si>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</si>
  <si>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</si>
  <si>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</si>
  <si>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</si>
  <si>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</si>
  <si>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</si>
  <si>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</si>
  <si>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</si>
  <si>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</si>
  <si>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</si>
  <si>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</si>
  <si>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</si>
  <si>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</si>
  <si>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</si>
  <si>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</si>
  <si>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</si>
  <si>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</si>
  <si>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</si>
  <si>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</si>
  <si>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</si>
  <si>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</si>
  <si>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</si>
  <si>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</si>
  <si>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</si>
  <si>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</si>
  <si>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</si>
  <si>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</si>
  <si>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</si>
  <si>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</si>
  <si>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</si>
  <si>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</si>
  <si>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</si>
  <si>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</si>
  <si>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</si>
  <si>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</si>
  <si>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</si>
  <si>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</si>
  <si>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</si>
  <si>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</si>
  <si>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</si>
  <si>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</si>
  <si>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</si>
  <si>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</si>
  <si>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</si>
  <si>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</si>
  <si>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</si>
  <si>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</si>
  <si>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</si>
  <si>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</si>
  <si>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</si>
  <si>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</si>
  <si>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</si>
  <si>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</si>
  <si>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</si>
  <si>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</si>
  <si>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</si>
  <si>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</si>
  <si>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</si>
  <si>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</si>
  <si>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</si>
  <si>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</si>
  <si>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</si>
  <si>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</si>
  <si>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</si>
  <si>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</si>
  <si>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</si>
  <si>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</si>
  <si>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</si>
  <si>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</si>
  <si>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</si>
  <si>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</si>
  <si>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</si>
  <si>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</si>
  <si>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</si>
  <si>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</si>
  <si>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</si>
  <si>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</si>
  <si>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</si>
  <si>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</si>
  <si>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</si>
  <si>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</si>
  <si>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</si>
  <si>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</si>
  <si>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</si>
  <si>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</si>
  <si>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</si>
  <si>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</si>
  <si>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</si>
  <si>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</si>
  <si>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</si>
  <si>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</si>
  <si>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</si>
  <si>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</si>
  <si>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</si>
  <si>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</si>
  <si>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</si>
  <si>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</si>
  <si>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</si>
  <si>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</si>
  <si>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</si>
  <si>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</si>
  <si>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</si>
  <si>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</si>
  <si>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</si>
  <si>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</si>
  <si>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</si>
  <si>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</si>
  <si>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</si>
  <si>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</si>
  <si>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</si>
  <si>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</si>
  <si>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</si>
  <si>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</si>
  <si>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</si>
  <si>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</si>
  <si>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</si>
  <si>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</si>
  <si>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</si>
  <si>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</si>
  <si>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</si>
  <si>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</si>
  <si>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</si>
  <si>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</si>
  <si>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</si>
  <si>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</si>
  <si>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</si>
  <si>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</si>
  <si>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</si>
  <si>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</si>
  <si>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</si>
  <si>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</si>
  <si>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</si>
  <si>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</si>
  <si>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</si>
  <si>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</si>
  <si>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</si>
  <si>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</si>
  <si>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</si>
  <si>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</si>
  <si>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</si>
  <si>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</si>
  <si>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</si>
  <si>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</si>
  <si>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</si>
  <si>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</si>
  <si>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</si>
  <si>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</si>
  <si>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</si>
  <si>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</si>
  <si>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</si>
  <si>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</si>
  <si>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</si>
  <si>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</si>
  <si>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</si>
  <si>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</si>
  <si>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</si>
  <si>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</si>
  <si>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</si>
  <si>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</si>
  <si>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</si>
  <si>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</si>
  <si>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</si>
  <si>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</si>
  <si>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</si>
  <si>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</si>
  <si>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</si>
  <si>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</si>
  <si>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</si>
  <si>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</si>
  <si>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</si>
  <si>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</si>
  <si>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</si>
  <si>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</si>
  <si>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</si>
  <si>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</si>
  <si>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</si>
  <si>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</si>
  <si>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</si>
  <si>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</si>
  <si>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</si>
  <si>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</si>
  <si>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</si>
  <si>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</si>
  <si>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</si>
  <si>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</si>
  <si>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</si>
  <si>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</si>
  <si>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</si>
  <si>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</si>
  <si>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</si>
  <si>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</si>
  <si>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</si>
  <si>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</si>
  <si>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</si>
  <si>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</si>
  <si>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</si>
  <si>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</si>
  <si>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</si>
  <si>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</si>
  <si>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</si>
  <si>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</si>
  <si>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</si>
  <si>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</si>
  <si>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</si>
  <si>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</si>
  <si>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</si>
  <si>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</si>
  <si>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</si>
  <si>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</si>
  <si>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</si>
  <si>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</si>
  <si>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</si>
  <si>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</si>
  <si>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</si>
  <si>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</si>
  <si>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</si>
  <si>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</si>
  <si>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</si>
  <si>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</si>
  <si>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</si>
  <si>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</si>
  <si>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</si>
  <si>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</si>
  <si>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</si>
  <si>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</si>
  <si>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</si>
  <si>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</si>
  <si>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</si>
  <si>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</si>
  <si>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</si>
  <si>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</si>
  <si>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</si>
  <si>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</si>
  <si>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</si>
  <si>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</si>
  <si>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</si>
  <si>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</si>
  <si>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</si>
  <si>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</si>
  <si>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</si>
  <si>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</si>
  <si>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</si>
  <si>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</si>
  <si>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</si>
  <si>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</si>
  <si>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</si>
  <si>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</si>
  <si>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</si>
  <si>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</si>
  <si>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</si>
  <si>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</si>
  <si>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</si>
  <si>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</si>
  <si>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</si>
  <si>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</si>
  <si>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</si>
  <si>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</si>
  <si>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</si>
  <si>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</si>
  <si>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</si>
  <si>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</si>
  <si>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</si>
  <si>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</si>
  <si>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</si>
  <si>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</si>
  <si>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</si>
  <si>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</si>
  <si>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</si>
  <si>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</si>
  <si>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</si>
  <si>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</si>
  <si>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</si>
  <si>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</si>
  <si>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</si>
  <si>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</si>
  <si>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</si>
  <si>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</si>
  <si>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</si>
  <si>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</si>
  <si>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</si>
  <si>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</si>
  <si>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</si>
  <si>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</si>
  <si>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</si>
  <si>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</si>
  <si>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</si>
  <si>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</si>
  <si>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</si>
  <si>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</si>
  <si>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</si>
  <si>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</si>
  <si>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</si>
  <si>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</si>
  <si>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</si>
  <si>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</si>
  <si>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</si>
  <si>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</si>
  <si>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</si>
  <si>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</si>
  <si>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</si>
  <si>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</si>
  <si>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</si>
  <si>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</si>
  <si>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</si>
  <si>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</si>
  <si>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</si>
  <si>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</si>
  <si>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</si>
  <si>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</si>
  <si>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</si>
  <si>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</si>
  <si>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</si>
  <si>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</si>
  <si>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</si>
  <si>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</si>
  <si>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</si>
  <si>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</si>
  <si>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</si>
  <si>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</si>
  <si>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</si>
  <si>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</si>
  <si>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</si>
  <si>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</si>
  <si>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</si>
  <si>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</si>
  <si>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</si>
  <si>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</si>
  <si>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</si>
  <si>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</si>
  <si>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</si>
  <si>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</si>
  <si>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</si>
  <si>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</si>
  <si>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</si>
  <si>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</si>
  <si>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</si>
  <si>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</si>
  <si>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</si>
  <si>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</si>
  <si>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</si>
  <si>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</si>
  <si>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</si>
  <si>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</si>
  <si>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</si>
  <si>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</si>
  <si>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</si>
  <si>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</si>
  <si>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</si>
  <si>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</si>
  <si>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</si>
  <si>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</si>
  <si>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</si>
  <si>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</si>
  <si>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</si>
  <si>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</si>
  <si>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</si>
  <si>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</si>
  <si>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</si>
  <si>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</si>
  <si>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</si>
  <si>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</si>
  <si>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</si>
  <si>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</si>
  <si>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</si>
  <si>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</si>
  <si>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</si>
  <si>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</si>
  <si>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</si>
  <si>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</si>
  <si>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</si>
  <si>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</si>
  <si>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</si>
  <si>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</si>
  <si>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</si>
  <si>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</si>
  <si>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</si>
  <si>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</si>
  <si>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</si>
  <si>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</si>
  <si>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</si>
  <si>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</si>
  <si>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</si>
  <si>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</si>
  <si>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</si>
  <si>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</si>
  <si>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</si>
  <si>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</si>
  <si>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</si>
  <si>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</si>
  <si>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</si>
  <si>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</si>
  <si>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</si>
  <si>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</si>
  <si>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</si>
  <si>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</si>
  <si>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</si>
  <si>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</si>
  <si>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</si>
  <si>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</si>
  <si>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</si>
  <si>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</si>
  <si>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</si>
  <si>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</si>
  <si>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</si>
  <si>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</si>
  <si>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</si>
  <si>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</si>
  <si>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</si>
  <si>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</si>
  <si>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</si>
  <si>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</si>
  <si>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</si>
  <si>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</si>
  <si>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</si>
  <si>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</si>
  <si>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</si>
  <si>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</si>
  <si>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</si>
  <si>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</si>
  <si>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</si>
  <si>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</si>
  <si>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</si>
  <si>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</si>
  <si>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</si>
  <si>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</si>
  <si>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</si>
  <si>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</si>
  <si>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</si>
  <si>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</si>
  <si>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</si>
  <si>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</si>
  <si>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</si>
  <si>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</si>
  <si>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</si>
  <si>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</si>
  <si>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</si>
  <si>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</si>
  <si>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</si>
  <si>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</si>
  <si>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</si>
  <si>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</si>
  <si>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</si>
  <si>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</si>
  <si>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</si>
  <si>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</si>
  <si>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</si>
  <si>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</si>
  <si>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</si>
  <si>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</si>
  <si>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</si>
  <si>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</si>
  <si>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</si>
  <si>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</si>
  <si>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</si>
  <si>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</si>
  <si>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</si>
  <si>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</si>
  <si>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</si>
  <si>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</si>
  <si>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</si>
  <si>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</si>
  <si>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</si>
  <si>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</si>
  <si>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</si>
  <si>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</si>
  <si>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</si>
  <si>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</si>
  <si>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</si>
  <si>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</si>
  <si>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</si>
  <si>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</si>
  <si>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</si>
  <si>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</si>
  <si>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</si>
  <si>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</si>
  <si>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</si>
  <si>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</si>
  <si>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</si>
  <si>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</si>
  <si>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</si>
  <si>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</si>
  <si>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</si>
  <si>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</si>
  <si>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</si>
  <si>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</si>
  <si>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</si>
  <si>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</si>
  <si>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</si>
  <si>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</si>
  <si>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</si>
  <si>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</si>
  <si>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</si>
  <si>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</si>
  <si>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</si>
  <si>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</si>
  <si>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</si>
  <si>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</si>
  <si>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</si>
  <si>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</si>
  <si>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</si>
  <si>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</si>
  <si>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</si>
  <si>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</si>
  <si>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</si>
  <si>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</si>
  <si>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</si>
  <si>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</si>
  <si>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</si>
  <si>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</si>
  <si>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</si>
  <si>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</si>
  <si>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</si>
  <si>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</si>
  <si>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</si>
  <si>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</si>
  <si>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</si>
  <si>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</si>
  <si>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</si>
  <si>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</si>
  <si>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</si>
  <si>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</si>
  <si>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</si>
  <si>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</si>
  <si>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</si>
  <si>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</si>
  <si>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</si>
  <si>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</si>
  <si>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</si>
  <si>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</si>
  <si>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</si>
  <si>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</si>
  <si>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</si>
  <si>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</si>
  <si>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</si>
  <si>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</si>
  <si>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</si>
  <si>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</si>
  <si>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</si>
  <si>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</si>
  <si>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</si>
  <si>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</si>
  <si>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</si>
  <si>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</si>
  <si>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</si>
  <si>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</si>
  <si>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</si>
  <si>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</si>
  <si>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</si>
  <si>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</si>
  <si>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</si>
  <si>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</si>
  <si>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</si>
  <si>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</si>
  <si>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</si>
  <si>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</si>
  <si>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</si>
  <si>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</si>
  <si>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</si>
  <si>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</si>
  <si>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</si>
  <si>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</si>
  <si>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</si>
  <si>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</si>
  <si>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</si>
  <si>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</si>
  <si>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</si>
  <si>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</si>
  <si>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</si>
  <si>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</si>
  <si>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</si>
  <si>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</si>
  <si>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</si>
  <si>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</si>
  <si>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</si>
  <si>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</si>
  <si>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</si>
  <si>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</si>
  <si>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</si>
  <si>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</si>
  <si>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</si>
  <si>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</si>
  <si>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</si>
  <si>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</si>
  <si>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</si>
  <si>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</si>
  <si>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</si>
  <si>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</si>
  <si>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</si>
  <si>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</si>
  <si>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</si>
  <si>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</si>
  <si>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</si>
  <si>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</si>
  <si>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</si>
  <si>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</si>
  <si>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</si>
  <si>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</si>
  <si>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</si>
  <si>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</si>
  <si>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</si>
  <si>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</si>
  <si>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</si>
  <si>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</si>
  <si>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</si>
  <si>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</si>
  <si>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</si>
  <si>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</si>
  <si>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</si>
  <si>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</si>
  <si>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</si>
  <si>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</si>
  <si>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</si>
  <si>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</si>
  <si>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</si>
  <si>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</si>
  <si>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</si>
  <si>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</si>
  <si>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</si>
  <si>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</si>
  <si>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</si>
  <si>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</si>
  <si>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</si>
  <si>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</si>
  <si>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</si>
  <si>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</si>
  <si>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</si>
  <si>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</si>
  <si>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</si>
  <si>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</si>
  <si>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</si>
  <si>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</si>
  <si>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</si>
  <si>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</si>
  <si>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</si>
  <si>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</si>
  <si>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</si>
  <si>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</si>
  <si>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</si>
  <si>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</si>
  <si>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</si>
  <si>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</si>
  <si>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</si>
  <si>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</si>
  <si>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</si>
  <si>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</si>
  <si>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</si>
  <si>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</si>
  <si>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</si>
  <si>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</si>
  <si>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</si>
  <si>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</si>
  <si>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</si>
  <si>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</si>
  <si>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</si>
  <si>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</si>
  <si>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</si>
  <si>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</si>
  <si>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</si>
  <si>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</si>
  <si>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</si>
  <si>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</si>
  <si>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</si>
  <si>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</si>
  <si>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</si>
  <si>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</si>
  <si>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</si>
  <si>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</si>
  <si>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</si>
  <si>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</si>
  <si>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</si>
  <si>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</si>
  <si>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</si>
  <si>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</si>
  <si>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</si>
  <si>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</si>
  <si>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</si>
  <si>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</si>
  <si>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</si>
  <si>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</si>
  <si>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</si>
  <si>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</si>
  <si>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</si>
  <si>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</si>
  <si>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</si>
  <si>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</si>
  <si>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</si>
  <si>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</si>
  <si>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</si>
  <si>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</si>
  <si>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</si>
  <si>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</si>
  <si>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</si>
  <si>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</si>
  <si>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</si>
  <si>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</si>
  <si>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</si>
  <si>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</si>
  <si>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</si>
  <si>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</si>
  <si>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</si>
  <si>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</si>
  <si>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</si>
  <si>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</si>
  <si>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</si>
  <si>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</si>
  <si>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</si>
  <si>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</si>
  <si>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</si>
  <si>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</si>
  <si>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</si>
  <si>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</si>
  <si>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</si>
  <si>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</si>
  <si>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</si>
  <si>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</si>
  <si>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</si>
  <si>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</si>
  <si>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</si>
  <si>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</si>
  <si>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</si>
  <si>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</si>
  <si>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</si>
  <si>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</si>
  <si>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</si>
  <si>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</si>
  <si>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</si>
  <si>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</si>
  <si>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</si>
  <si>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</si>
  <si>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</si>
  <si>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</si>
  <si>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</si>
  <si>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</si>
  <si>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</si>
  <si>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</si>
  <si>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</si>
  <si>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</si>
  <si>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</si>
  <si>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</si>
  <si>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</si>
  <si>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</si>
  <si>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</si>
  <si>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</si>
  <si>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</si>
  <si>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</si>
  <si>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</si>
  <si>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</si>
  <si>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</si>
  <si>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</si>
  <si>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</si>
  <si>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</si>
  <si>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</si>
  <si>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</si>
  <si>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</si>
  <si>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</si>
  <si>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</si>
  <si>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</si>
  <si>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</si>
  <si>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</si>
  <si>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</si>
  <si>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</si>
  <si>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</si>
  <si>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</si>
  <si>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</si>
  <si>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</si>
  <si>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</si>
  <si>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</si>
  <si>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</si>
  <si>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</si>
  <si>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</si>
  <si>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</si>
  <si>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</si>
  <si>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</si>
  <si>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</si>
  <si>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</si>
  <si>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</si>
  <si>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</si>
  <si>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</si>
  <si>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</si>
  <si>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</si>
  <si>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</si>
  <si>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</si>
  <si>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</si>
  <si>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</si>
  <si>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</si>
  <si>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</si>
  <si>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</si>
  <si>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</si>
  <si>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</si>
  <si>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</si>
  <si>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</si>
  <si>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</si>
  <si>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</si>
  <si>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</si>
  <si>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</si>
  <si>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</si>
  <si>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</si>
  <si>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</si>
  <si>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</si>
  <si>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</si>
  <si>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</si>
  <si>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</si>
  <si>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</si>
  <si>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</si>
  <si>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</si>
  <si>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</si>
  <si>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</si>
  <si>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</si>
  <si>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</si>
  <si>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</si>
  <si>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</si>
  <si>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</si>
  <si>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</si>
  <si>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</si>
  <si>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</si>
  <si>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</si>
  <si>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</si>
  <si>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</si>
  <si>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</si>
  <si>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</si>
  <si>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</si>
  <si>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</si>
  <si>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</si>
  <si>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</si>
  <si>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</si>
  <si>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</si>
  <si>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</si>
  <si>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</si>
  <si>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</si>
  <si>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</si>
  <si>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</si>
  <si>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</si>
  <si>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</si>
  <si>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</si>
  <si>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</si>
  <si>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</si>
  <si>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</si>
  <si>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</si>
  <si>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</si>
  <si>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</si>
  <si>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</si>
  <si>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</si>
  <si>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</si>
  <si>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</si>
  <si>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</si>
  <si>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</si>
  <si>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</si>
  <si>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</si>
  <si>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</si>
  <si>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</si>
  <si>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</si>
  <si>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</si>
  <si>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</si>
  <si>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</si>
  <si>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</si>
  <si>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</si>
  <si>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</si>
  <si>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</si>
  <si>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</si>
  <si>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</si>
  <si>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</si>
  <si>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</si>
  <si>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</si>
  <si>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</si>
  <si>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</si>
  <si>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</si>
  <si>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</si>
  <si>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</si>
  <si>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</si>
  <si>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</si>
  <si>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</si>
  <si>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</si>
  <si>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</si>
  <si>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</si>
  <si>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</si>
  <si>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</si>
  <si>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</si>
  <si>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</si>
  <si>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</si>
  <si>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</si>
  <si>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</si>
  <si>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</si>
  <si>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</si>
  <si>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</si>
  <si>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</si>
  <si>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</si>
  <si>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</si>
  <si>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</si>
  <si>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</si>
  <si>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</si>
  <si>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</si>
  <si>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</si>
  <si>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</si>
  <si>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</si>
  <si>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</si>
  <si>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</si>
  <si>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</si>
  <si>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</si>
  <si>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</si>
  <si>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</si>
  <si>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</si>
  <si>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</si>
  <si>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</si>
  <si>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</si>
  <si>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</si>
  <si>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</si>
  <si>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</si>
  <si>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</si>
  <si>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</si>
  <si>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</si>
  <si>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</si>
  <si>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</si>
  <si>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</si>
  <si>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</si>
  <si>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</si>
  <si>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</si>
  <si>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</si>
  <si>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</si>
  <si>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</si>
  <si>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</si>
  <si>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</si>
  <si>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</si>
  <si>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</si>
  <si>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</si>
  <si>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</si>
  <si>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</si>
  <si>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</si>
  <si>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</si>
  <si>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</si>
  <si>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</si>
  <si>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</si>
  <si>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</si>
  <si>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</si>
  <si>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</si>
  <si>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</si>
  <si>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</si>
  <si>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</si>
  <si>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</si>
  <si>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</si>
  <si>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</si>
  <si>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</si>
  <si>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</si>
  <si>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</si>
  <si>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</si>
  <si>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</si>
  <si>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</si>
  <si>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</si>
  <si>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</si>
  <si>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</si>
  <si>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</si>
  <si>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</si>
  <si>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</si>
  <si>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</si>
  <si>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</si>
  <si>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</si>
  <si>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</si>
  <si>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</si>
  <si>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</si>
  <si>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</si>
  <si>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</si>
  <si>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</si>
  <si>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</si>
  <si>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</si>
  <si>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</si>
  <si>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</si>
  <si>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</si>
  <si>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</si>
  <si>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</si>
  <si>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</si>
  <si>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</si>
  <si>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</si>
  <si>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</si>
  <si>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</si>
  <si>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</si>
  <si>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</si>
  <si>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</si>
  <si>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</si>
  <si>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</si>
  <si>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</si>
  <si>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</si>
  <si>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</si>
  <si>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</si>
  <si>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</si>
  <si>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</si>
  <si>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</si>
  <si>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</si>
  <si>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</si>
  <si>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</si>
  <si>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</si>
  <si>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</si>
  <si>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</si>
  <si>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</si>
  <si>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</si>
  <si>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</si>
  <si>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</si>
  <si>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</si>
  <si>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</si>
  <si>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</si>
  <si>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</si>
  <si>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</si>
  <si>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</si>
  <si>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</si>
  <si>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</si>
  <si>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</si>
  <si>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</si>
  <si>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</si>
  <si>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</si>
  <si>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</si>
  <si>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</si>
  <si>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</si>
  <si>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</si>
  <si>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</si>
  <si>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</si>
  <si>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</si>
  <si>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</si>
  <si>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</si>
  <si>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</si>
  <si>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</si>
  <si>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</si>
  <si>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</si>
  <si>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</si>
  <si>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</si>
  <si>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</si>
  <si>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</si>
  <si>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</si>
  <si>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</si>
  <si>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</si>
  <si>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</si>
  <si>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</si>
  <si>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</si>
  <si>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</si>
  <si>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</si>
  <si>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</si>
  <si>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</si>
  <si>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</si>
  <si>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</si>
  <si>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</si>
  <si>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</si>
  <si>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</si>
  <si>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</si>
  <si>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</si>
  <si>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</si>
  <si>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</si>
  <si>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</si>
  <si>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</si>
  <si>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</si>
  <si>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</si>
  <si>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</si>
  <si>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</si>
  <si>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</si>
  <si>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</si>
  <si>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</si>
  <si>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</si>
  <si>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</si>
  <si>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</si>
  <si>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</si>
  <si>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</si>
  <si>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</si>
  <si>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</si>
  <si>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</si>
  <si>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</si>
  <si>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</si>
  <si>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</si>
  <si>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</si>
  <si>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</si>
  <si>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</si>
  <si>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</si>
  <si>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</si>
  <si>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</si>
  <si>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</si>
  <si>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</si>
  <si>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</si>
  <si>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</si>
  <si>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</si>
  <si>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</si>
  <si>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</si>
  <si>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</si>
  <si>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</si>
  <si>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</si>
  <si>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</si>
  <si>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</si>
  <si>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</si>
  <si>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</si>
  <si>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</si>
  <si>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</si>
  <si>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</si>
  <si>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</si>
  <si>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</si>
  <si>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</si>
  <si>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</si>
  <si>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</si>
  <si>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</si>
  <si>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</si>
  <si>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</si>
  <si>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</si>
  <si>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</si>
  <si>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</si>
  <si>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</si>
  <si>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</si>
  <si>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</si>
  <si>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</si>
  <si>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</si>
  <si>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</si>
  <si>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</si>
  <si>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</si>
  <si>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</si>
  <si>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</si>
  <si>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</si>
  <si>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</si>
  <si>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</si>
  <si>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</si>
  <si>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</si>
  <si>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</si>
  <si>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</si>
  <si>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</si>
  <si>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</si>
  <si>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</si>
  <si>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</si>
  <si>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</si>
  <si>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</si>
  <si>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</si>
  <si>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</si>
  <si>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</si>
  <si>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</si>
  <si>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</si>
  <si>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</si>
  <si>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</si>
  <si>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</si>
  <si>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</si>
  <si>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</si>
  <si>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</si>
  <si>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</si>
  <si>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</si>
  <si>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</si>
  <si>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</si>
  <si>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</si>
  <si>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</si>
  <si>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</si>
  <si>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</si>
  <si>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</si>
  <si>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</si>
  <si>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</si>
  <si>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</si>
  <si>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</si>
  <si>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</si>
  <si>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</si>
  <si>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</si>
  <si>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</si>
  <si>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</si>
  <si>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</si>
  <si>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</si>
  <si>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</si>
  <si>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</si>
  <si>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</si>
  <si>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</si>
  <si>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</si>
  <si>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</si>
  <si>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</si>
  <si>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</si>
  <si>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</si>
  <si>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</si>
  <si>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</si>
  <si>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</si>
  <si>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</si>
  <si>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</si>
  <si>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</si>
  <si>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</si>
  <si>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</si>
  <si>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</si>
  <si>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</si>
  <si>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</si>
  <si>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</si>
  <si>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</si>
  <si>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</si>
  <si>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</si>
  <si>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</si>
  <si>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</si>
  <si>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</si>
  <si>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</si>
  <si>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</si>
  <si>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</si>
  <si>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</si>
  <si>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</si>
  <si>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</si>
  <si>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</si>
  <si>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</si>
  <si>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</si>
  <si>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</si>
  <si>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</si>
  <si>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</si>
  <si>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</si>
  <si>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</si>
  <si>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</si>
  <si>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</si>
  <si>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</si>
  <si>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</si>
  <si>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</si>
  <si>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</si>
  <si>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</si>
  <si>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</si>
  <si>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</si>
  <si>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</si>
  <si>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</si>
  <si>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</si>
  <si>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</si>
  <si>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</si>
  <si>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</si>
  <si>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</si>
  <si>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</si>
  <si>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</si>
  <si>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</si>
  <si>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</si>
  <si>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</si>
  <si>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</si>
  <si>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</si>
  <si>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</si>
  <si>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</si>
  <si>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</si>
  <si>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</si>
  <si>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</si>
  <si>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</si>
  <si>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</si>
  <si>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</si>
  <si>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</si>
  <si>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</si>
  <si>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</si>
  <si>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</si>
  <si>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</si>
  <si>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</si>
  <si>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</si>
  <si>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</si>
  <si>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</si>
  <si>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</si>
  <si>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</si>
  <si>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</si>
  <si>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</si>
  <si>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</si>
  <si>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</si>
  <si>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</si>
  <si>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</si>
  <si>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</si>
  <si>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</si>
  <si>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</si>
  <si>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</si>
  <si>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</si>
  <si>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</si>
  <si>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</si>
  <si>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</si>
  <si>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</si>
  <si>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</si>
  <si>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</si>
  <si>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</si>
  <si>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</si>
  <si>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</si>
  <si>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</si>
  <si>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</si>
  <si>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</si>
  <si>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</si>
  <si>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</si>
  <si>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</si>
  <si>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</si>
  <si>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</si>
  <si>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</si>
  <si>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</si>
  <si>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</si>
  <si>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</si>
  <si>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</si>
  <si>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</si>
  <si>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</si>
  <si>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</si>
  <si>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</si>
  <si>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</si>
  <si>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</si>
  <si>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</si>
  <si>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</si>
  <si>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</si>
  <si>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</si>
  <si>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</si>
  <si>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</si>
  <si>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</si>
  <si>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</si>
  <si>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</si>
  <si>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</si>
  <si>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</si>
  <si>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</si>
  <si>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</si>
  <si>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</si>
  <si>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</si>
  <si>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</si>
  <si>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</si>
  <si>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</si>
  <si>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</si>
  <si>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</si>
  <si>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</si>
  <si>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</si>
  <si>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</si>
  <si>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</si>
  <si>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</si>
  <si>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</si>
  <si>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</si>
  <si>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</si>
  <si>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</si>
  <si>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</si>
  <si>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</si>
  <si>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</si>
  <si>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</si>
  <si>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</si>
  <si>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</si>
  <si>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</si>
  <si>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</si>
  <si>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</si>
  <si>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</si>
  <si>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</si>
  <si>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</si>
  <si>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</si>
  <si>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</si>
  <si>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</si>
  <si>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</si>
  <si>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</si>
  <si>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</si>
  <si>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</si>
  <si>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</si>
  <si>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</si>
  <si>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</si>
  <si>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</si>
  <si>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</si>
  <si>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</si>
  <si>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</si>
  <si>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</si>
  <si>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</si>
  <si>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</si>
  <si>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</si>
  <si>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</si>
  <si>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</si>
  <si>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</si>
  <si>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</si>
  <si>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</si>
  <si>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</si>
  <si>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</si>
  <si>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</si>
  <si>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</si>
  <si>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</si>
  <si>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</si>
  <si>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</si>
  <si>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</si>
  <si>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</si>
  <si>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</si>
  <si>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</si>
  <si>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</si>
  <si>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</si>
  <si>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</si>
  <si>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</si>
  <si>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</si>
  <si>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</si>
  <si>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</si>
  <si>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</si>
  <si>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</si>
  <si>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</si>
  <si>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</si>
  <si>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</si>
  <si>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</si>
  <si>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</si>
  <si>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</si>
  <si>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</si>
  <si>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</si>
  <si>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</si>
  <si>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</si>
  <si>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</si>
  <si>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</si>
  <si>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</si>
  <si>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</si>
  <si>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</si>
  <si>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</si>
  <si>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</si>
  <si>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</si>
  <si>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</si>
  <si>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</si>
  <si>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</si>
  <si>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</si>
  <si>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</si>
  <si>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</si>
  <si>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</si>
  <si>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</si>
  <si>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</si>
  <si>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</si>
  <si>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</si>
  <si>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</si>
  <si>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</si>
  <si>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</si>
  <si>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</si>
  <si>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</si>
  <si>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</si>
  <si>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</si>
  <si>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</si>
  <si>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</si>
  <si>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</si>
  <si>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</si>
  <si>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</si>
  <si>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</si>
  <si>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</si>
  <si>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</si>
  <si>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</si>
  <si>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</si>
  <si>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</si>
  <si>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</si>
  <si>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</si>
  <si>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</si>
  <si>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</si>
  <si>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</si>
  <si>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</si>
  <si>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</si>
  <si>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</si>
  <si>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</si>
  <si>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</si>
  <si>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</si>
  <si>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</si>
  <si>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</si>
  <si>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</si>
  <si>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</si>
  <si>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</si>
  <si>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</si>
  <si>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</si>
  <si>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</si>
  <si>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</si>
  <si>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</si>
  <si>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</si>
  <si>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</si>
  <si>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</si>
  <si>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</si>
  <si>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</si>
  <si>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</si>
  <si>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</si>
  <si>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</si>
  <si>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</si>
  <si>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</si>
  <si>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</si>
  <si>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</si>
  <si>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</si>
  <si>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</si>
  <si>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</si>
  <si>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</si>
  <si>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</si>
  <si>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</si>
  <si>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</si>
  <si>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</si>
  <si>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</si>
  <si>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</si>
  <si>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</si>
  <si>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</si>
  <si>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</si>
  <si>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</si>
  <si>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</si>
  <si>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</si>
  <si>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</si>
  <si>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</si>
  <si>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</si>
  <si>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</si>
  <si>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</si>
  <si>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</si>
  <si>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</si>
  <si>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</si>
  <si>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</si>
  <si>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</si>
  <si>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</si>
  <si>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</si>
  <si>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</si>
  <si>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</si>
  <si>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</si>
  <si>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</si>
  <si>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</si>
  <si>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</si>
  <si>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</si>
  <si>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</si>
  <si>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</si>
  <si>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</si>
  <si>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</si>
  <si>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</si>
  <si>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</si>
  <si>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</si>
  <si>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</si>
  <si>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</si>
  <si>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</si>
  <si>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</si>
  <si>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</si>
  <si>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</si>
  <si>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</si>
  <si>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</si>
  <si>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</si>
  <si>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</si>
  <si>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</si>
  <si>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</si>
  <si>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</si>
  <si>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</si>
  <si>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</si>
  <si>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</si>
  <si>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</si>
  <si>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</si>
  <si>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</si>
  <si>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</si>
  <si>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</si>
  <si>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</si>
  <si>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</si>
  <si>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</si>
  <si>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</si>
  <si>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</si>
  <si>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</si>
  <si>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</si>
  <si>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</si>
  <si>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</si>
  <si>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</si>
  <si>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</si>
  <si>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</si>
  <si>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</si>
  <si>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</si>
  <si>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</si>
  <si>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</si>
  <si>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</si>
  <si>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</si>
  <si>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</si>
  <si>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</si>
  <si>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</si>
  <si>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</si>
  <si>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</si>
  <si>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</si>
  <si>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</si>
  <si>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</si>
  <si>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</si>
  <si>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</si>
  <si>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</si>
  <si>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</si>
  <si>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</si>
  <si>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</si>
  <si>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</si>
  <si>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</si>
  <si>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</si>
  <si>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</si>
  <si>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</si>
  <si>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</si>
  <si>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</si>
  <si>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</si>
  <si>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</si>
  <si>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</si>
  <si>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</si>
  <si>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</si>
  <si>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</si>
  <si>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</si>
  <si>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</si>
  <si>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</si>
  <si>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</si>
  <si>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</si>
  <si>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</si>
  <si>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</si>
  <si>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</si>
  <si>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</si>
  <si>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</si>
  <si>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</si>
  <si>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</si>
  <si>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</si>
  <si>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</si>
  <si>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</si>
  <si>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</si>
  <si>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</si>
  <si>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</si>
  <si>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</si>
  <si>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</si>
  <si>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</si>
  <si>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</si>
  <si>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</si>
  <si>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</si>
  <si>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</si>
  <si>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</si>
  <si>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</si>
  <si>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</si>
  <si>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</si>
  <si>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</si>
  <si>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</si>
  <si>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</si>
  <si>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</si>
  <si>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</si>
  <si>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</si>
  <si>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</si>
  <si>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</si>
  <si>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</si>
  <si>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</si>
  <si>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</si>
  <si>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</si>
  <si>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</si>
  <si>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</si>
  <si>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</si>
  <si>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</si>
  <si>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</si>
  <si>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</si>
  <si>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</si>
  <si>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</si>
  <si>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</si>
  <si>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</si>
  <si>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</si>
  <si>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</si>
  <si>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</si>
  <si>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</si>
  <si>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</si>
  <si>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</si>
  <si>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</si>
  <si>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</si>
  <si>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</si>
  <si>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</si>
  <si>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</si>
  <si>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</si>
  <si>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</si>
  <si>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</si>
  <si>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</si>
  <si>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</si>
  <si>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</si>
  <si>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</si>
  <si>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</si>
  <si>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</si>
  <si>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</si>
  <si>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</si>
  <si>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</si>
  <si>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</si>
  <si>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</si>
  <si>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</si>
  <si>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</si>
  <si>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</si>
  <si>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</si>
  <si>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</si>
  <si>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</si>
  <si>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</si>
  <si>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</si>
  <si>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</si>
  <si>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</si>
  <si>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</si>
  <si>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</si>
  <si>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</si>
  <si>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</si>
  <si>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</si>
  <si>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</si>
  <si>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</si>
  <si>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</si>
  <si>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</si>
  <si>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</si>
  <si>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</si>
  <si>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</si>
  <si>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</si>
  <si>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</si>
  <si>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</si>
  <si>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</si>
  <si>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</si>
  <si>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</si>
  <si>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</si>
  <si>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</si>
  <si>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</si>
  <si>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</si>
  <si>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</si>
  <si>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</si>
  <si>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</si>
  <si>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</si>
  <si>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</si>
  <si>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</si>
  <si>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</si>
  <si>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</si>
  <si>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</si>
  <si>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</si>
  <si>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</si>
  <si>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</si>
  <si>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</si>
  <si>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</si>
  <si>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</si>
  <si>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</si>
  <si>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</si>
  <si>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</si>
  <si>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</si>
  <si>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</si>
  <si>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</si>
  <si>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</si>
  <si>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</si>
  <si>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</si>
  <si>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</si>
  <si>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</si>
  <si>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</si>
  <si>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</si>
  <si>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</si>
  <si>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</si>
  <si>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</si>
  <si>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</si>
  <si>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</si>
  <si>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</si>
  <si>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</si>
  <si>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</si>
  <si>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</si>
  <si>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</si>
  <si>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</si>
  <si>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</si>
  <si>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</si>
  <si>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</si>
  <si>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</si>
  <si>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</si>
  <si>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</si>
  <si>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</si>
  <si>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</si>
  <si>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</si>
  <si>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</si>
  <si>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</si>
  <si>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</si>
  <si>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</si>
  <si>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</si>
  <si>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</si>
  <si>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</si>
  <si>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</si>
  <si>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</si>
  <si>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</si>
  <si>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</si>
  <si>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</si>
  <si>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</si>
  <si>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</si>
  <si>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</si>
  <si>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</si>
  <si>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</si>
  <si>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</si>
  <si>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</si>
  <si>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</si>
  <si>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</si>
  <si>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</si>
  <si>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</si>
  <si>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</si>
  <si>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</si>
  <si>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</si>
  <si>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</si>
  <si>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</si>
  <si>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</si>
  <si>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</si>
  <si>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</si>
  <si>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</si>
  <si>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</si>
  <si>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</si>
  <si>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</si>
  <si>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</si>
  <si>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</si>
  <si>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</si>
  <si>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</si>
  <si>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</si>
  <si>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</si>
  <si>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</si>
  <si>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</si>
  <si>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</si>
  <si>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</si>
  <si>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</si>
  <si>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</si>
  <si>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</si>
  <si>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</si>
  <si>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</si>
  <si>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</si>
  <si>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</si>
  <si>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</si>
  <si>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</si>
  <si>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</si>
  <si>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</si>
  <si>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</si>
  <si>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</si>
  <si>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</si>
  <si>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</si>
  <si>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</si>
  <si>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</si>
  <si>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</si>
  <si>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</si>
  <si>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</si>
  <si>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</si>
  <si>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</si>
  <si>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</si>
  <si>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</si>
  <si>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</si>
  <si>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</si>
  <si>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</si>
  <si>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</si>
  <si>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</si>
  <si>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</si>
  <si>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</si>
  <si>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</si>
  <si>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</si>
  <si>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</si>
  <si>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</si>
  <si>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</si>
  <si>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</si>
  <si>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</si>
  <si>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</si>
  <si>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</si>
  <si>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</si>
  <si>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</si>
  <si>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</si>
  <si>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</si>
  <si>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</si>
  <si>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</si>
  <si>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</si>
  <si>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</si>
  <si>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</si>
  <si>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</si>
  <si>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</si>
  <si>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</si>
  <si>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</si>
  <si>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</si>
  <si>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</si>
  <si>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</si>
  <si>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</si>
  <si>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</si>
  <si>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</si>
  <si>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</si>
  <si>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</si>
  <si>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</si>
  <si>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</si>
  <si>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</si>
  <si>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</si>
  <si>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</si>
  <si>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</si>
  <si>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</si>
  <si>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</si>
  <si>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</si>
  <si>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</si>
  <si>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</si>
  <si>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</si>
  <si>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</si>
  <si>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</si>
  <si>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</si>
  <si>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</si>
  <si>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</si>
  <si>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</si>
  <si>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</si>
  <si>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</si>
  <si>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</si>
  <si>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</si>
  <si>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</si>
  <si>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</si>
  <si>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</si>
  <si>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</si>
  <si>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</si>
  <si>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</si>
  <si>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</si>
  <si>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</si>
  <si>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</si>
  <si>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</si>
  <si>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</si>
  <si>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</si>
  <si>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</si>
  <si>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</si>
  <si>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</si>
  <si>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</si>
  <si>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</si>
  <si>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</si>
  <si>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</si>
  <si>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</si>
  <si>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</si>
  <si>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</si>
  <si>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</si>
  <si>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</si>
  <si>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</si>
  <si>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</si>
  <si>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</si>
  <si>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</si>
  <si>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</si>
  <si>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</si>
  <si>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</si>
  <si>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</si>
  <si>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</si>
  <si>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</si>
  <si>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</si>
  <si>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</si>
  <si>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</si>
  <si>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</si>
  <si>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</si>
  <si>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</si>
  <si>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</si>
  <si>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</si>
  <si>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</si>
  <si>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</si>
  <si>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</si>
  <si>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</si>
  <si>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</si>
  <si>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</si>
  <si>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</si>
  <si>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</si>
  <si>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</si>
  <si>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</si>
  <si>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</si>
  <si>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</si>
  <si>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</si>
  <si>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</si>
  <si>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</si>
  <si>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</si>
  <si>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</si>
  <si>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</si>
  <si>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</si>
  <si>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</si>
  <si>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</si>
  <si>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</si>
  <si>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</si>
  <si>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</si>
  <si>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</si>
  <si>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</si>
  <si>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</si>
  <si>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</si>
  <si>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</si>
  <si>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</si>
  <si>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</si>
  <si>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</si>
  <si>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</si>
  <si>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</si>
  <si>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</si>
  <si>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</si>
  <si>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</si>
  <si>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</si>
  <si>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</si>
  <si>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</si>
  <si>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</si>
  <si>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</si>
  <si>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</si>
  <si>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</si>
  <si>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</si>
  <si>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</si>
  <si>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</si>
  <si>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</si>
  <si>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</si>
  <si>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</si>
  <si>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</si>
  <si>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</si>
  <si>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</si>
  <si>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</si>
  <si>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</si>
  <si>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</si>
  <si>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</si>
  <si>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</si>
  <si>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</si>
  <si>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</si>
  <si>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</si>
  <si>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</si>
  <si>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</si>
  <si>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</si>
  <si>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</si>
  <si>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</si>
  <si>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</si>
  <si>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</si>
  <si>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</si>
  <si>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</si>
  <si>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</si>
  <si>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</si>
  <si>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</si>
  <si>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</si>
  <si>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</si>
  <si>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</si>
  <si>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</si>
  <si>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</si>
  <si>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</si>
  <si>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</si>
  <si>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</si>
  <si>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</si>
  <si>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</si>
  <si>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</si>
  <si>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</si>
  <si>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</si>
  <si>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</si>
  <si>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</si>
  <si>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</si>
  <si>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</si>
  <si>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</si>
  <si>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</si>
  <si>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</si>
  <si>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</si>
  <si>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</si>
  <si>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</si>
  <si>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</si>
  <si>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</si>
  <si>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</si>
  <si>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</si>
  <si>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</si>
  <si>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</si>
  <si>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</si>
  <si>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</si>
  <si>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</si>
  <si>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</si>
  <si>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</si>
  <si>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</si>
  <si>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</si>
  <si>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</si>
  <si>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</si>
  <si>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</si>
  <si>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</si>
  <si>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</si>
  <si>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</si>
  <si>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</si>
  <si>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</si>
  <si>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</si>
  <si>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</si>
  <si>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</si>
  <si>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</si>
  <si>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</si>
  <si>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</si>
  <si>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</si>
  <si>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</si>
  <si>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</si>
  <si>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</si>
  <si>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</si>
  <si>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</si>
  <si>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</si>
  <si>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</si>
  <si>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</si>
  <si>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</si>
  <si>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</si>
  <si>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</si>
  <si>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</si>
  <si>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</si>
  <si>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</si>
  <si>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</si>
  <si>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</si>
  <si>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</si>
  <si>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</si>
  <si>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</si>
  <si>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</si>
  <si>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</si>
  <si>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</si>
  <si>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</si>
  <si>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</si>
  <si>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</si>
  <si>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</si>
  <si>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</si>
  <si>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</si>
  <si>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</si>
  <si>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</si>
  <si>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</si>
  <si>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</si>
  <si>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</si>
  <si>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</si>
  <si>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</si>
  <si>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</si>
  <si>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</si>
  <si>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</si>
  <si>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</si>
  <si>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</si>
  <si>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</si>
  <si>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</si>
  <si>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</si>
  <si>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</si>
  <si>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</si>
  <si>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</si>
  <si>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</si>
  <si>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</si>
  <si>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</si>
  <si>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</si>
  <si>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</si>
  <si>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</si>
  <si>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</si>
  <si>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</si>
  <si>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</si>
  <si>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</si>
  <si>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</si>
  <si>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</si>
  <si>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</si>
  <si>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</si>
  <si>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</si>
  <si>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</si>
  <si>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</si>
  <si>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</si>
  <si>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</si>
  <si>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</si>
  <si>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</si>
  <si>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</si>
  <si>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</si>
  <si>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</si>
  <si>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</si>
  <si>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</si>
  <si>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</si>
  <si>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</si>
  <si>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</si>
  <si>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</si>
  <si>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</si>
  <si>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</si>
  <si>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</si>
  <si>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</si>
  <si>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</si>
  <si>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</si>
  <si>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</si>
  <si>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</si>
  <si>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</si>
  <si>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</si>
  <si>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</si>
  <si>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</si>
  <si>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</si>
  <si>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</si>
  <si>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</si>
  <si>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</si>
  <si>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</si>
  <si>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</si>
  <si>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</si>
  <si>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</si>
  <si>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</si>
  <si>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</si>
  <si>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</si>
  <si>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</si>
  <si>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</si>
  <si>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</si>
  <si>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</si>
  <si>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</si>
  <si>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</si>
  <si>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</si>
  <si>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</si>
  <si>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</si>
  <si>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</si>
  <si>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</si>
  <si>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</si>
  <si>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</si>
  <si>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</si>
  <si>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</si>
  <si>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</si>
  <si>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</si>
  <si>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</si>
  <si>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</si>
  <si>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</si>
  <si>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</si>
  <si>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</si>
  <si>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</si>
  <si>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</si>
  <si>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</si>
  <si>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</si>
  <si>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</si>
  <si>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</si>
  <si>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</si>
  <si>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</si>
  <si>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</si>
  <si>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</si>
  <si>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</si>
  <si>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</si>
  <si>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</si>
  <si>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</si>
  <si>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</si>
  <si>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</si>
  <si>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</si>
  <si>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</si>
  <si>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</si>
  <si>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</si>
  <si>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</si>
  <si>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</si>
  <si>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</si>
  <si>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</si>
  <si>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</si>
  <si>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</si>
  <si>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</si>
  <si>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</si>
  <si>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</si>
  <si>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</si>
  <si>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</si>
  <si>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</si>
  <si>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</si>
  <si>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</si>
  <si>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</si>
  <si>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</si>
  <si>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</si>
  <si>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</si>
  <si>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</si>
  <si>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</si>
  <si>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</si>
  <si>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</si>
  <si>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</si>
  <si>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</si>
  <si>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</si>
  <si>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</si>
  <si>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</si>
  <si>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</si>
  <si>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</si>
  <si>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</si>
  <si>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</si>
  <si>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</si>
  <si>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</si>
  <si>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</si>
  <si>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</si>
  <si>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</si>
  <si>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</si>
  <si>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</si>
  <si>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</si>
  <si>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</si>
  <si>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</si>
  <si>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</si>
  <si>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</si>
  <si>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</si>
  <si>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</si>
  <si>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</si>
  <si>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</si>
  <si>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</si>
  <si>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</si>
  <si>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</si>
  <si>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</si>
  <si>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</si>
  <si>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</si>
  <si>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</si>
  <si>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</si>
  <si>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</si>
  <si>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</si>
  <si>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</si>
  <si>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</si>
  <si>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</si>
  <si>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</si>
  <si>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</si>
  <si>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</si>
  <si>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</si>
  <si>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</si>
  <si>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</si>
  <si>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</si>
  <si>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</si>
  <si>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</si>
  <si>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</si>
  <si>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</si>
  <si>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</si>
  <si>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</si>
  <si>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</si>
  <si>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</si>
  <si>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</si>
  <si>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</si>
  <si>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</si>
  <si>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</si>
  <si>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</si>
  <si>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</si>
  <si>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</si>
  <si>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</si>
  <si>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</si>
  <si>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</si>
  <si>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</si>
  <si>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</si>
  <si>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</si>
  <si>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</si>
  <si>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</si>
  <si>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</si>
  <si>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</si>
  <si>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</si>
  <si>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</si>
  <si>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</si>
  <si>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</si>
  <si>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</si>
  <si>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</si>
  <si>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</si>
  <si>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</si>
  <si>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</si>
  <si>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</si>
  <si>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</si>
  <si>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</si>
  <si>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</si>
  <si>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</si>
  <si>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</si>
  <si>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</si>
  <si>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</si>
  <si>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</si>
  <si>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</si>
  <si>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</si>
  <si>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</si>
  <si>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</si>
  <si>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</si>
  <si>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</si>
  <si>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</si>
  <si>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</si>
  <si>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</si>
  <si>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</si>
  <si>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</si>
  <si>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</si>
  <si>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</si>
  <si>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</si>
  <si>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</si>
  <si>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</si>
  <si>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</si>
  <si>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</si>
  <si>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</si>
  <si>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</si>
  <si>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</si>
  <si>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</si>
  <si>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</si>
  <si>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</si>
  <si>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</si>
  <si>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</si>
  <si>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</si>
  <si>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</si>
  <si>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</si>
  <si>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</si>
  <si>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</si>
  <si>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</si>
  <si>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</si>
  <si>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</si>
  <si>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</si>
  <si>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</si>
  <si>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</si>
  <si>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</si>
  <si>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</si>
  <si>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</si>
  <si>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</si>
  <si>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</si>
  <si>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</si>
  <si>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</si>
  <si>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</si>
  <si>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</si>
  <si>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</si>
  <si>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</si>
  <si>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</si>
  <si>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</si>
  <si>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</si>
  <si>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</si>
  <si>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</si>
  <si>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</si>
  <si>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</si>
  <si>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</si>
  <si>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</si>
  <si>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</si>
  <si>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</si>
  <si>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</si>
  <si>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</si>
  <si>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</si>
  <si>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</si>
  <si>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</si>
  <si>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</si>
  <si>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</si>
  <si>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</si>
  <si>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</si>
  <si>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</si>
  <si>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</si>
  <si>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</si>
  <si>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</si>
  <si>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</si>
  <si>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</si>
  <si>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</si>
  <si>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</si>
  <si>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</si>
  <si>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</si>
  <si>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</si>
  <si>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</si>
  <si>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</si>
  <si>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</si>
  <si>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</si>
  <si>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</si>
  <si>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</si>
  <si>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</si>
  <si>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</si>
  <si>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</si>
  <si>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</si>
  <si>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</si>
  <si>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</si>
  <si>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</si>
  <si>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</si>
  <si>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</si>
  <si>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</si>
  <si>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</si>
  <si>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</si>
  <si>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</si>
  <si>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</si>
  <si>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</si>
  <si>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</si>
  <si>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</si>
  <si>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</si>
  <si>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</si>
  <si>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</si>
  <si>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</si>
  <si>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</si>
  <si>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</si>
  <si>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</si>
  <si>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</si>
  <si>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</si>
  <si>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</si>
  <si>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</si>
  <si>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</si>
  <si>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</si>
  <si>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</si>
  <si>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</si>
  <si>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</si>
  <si>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</si>
  <si>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</si>
  <si>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</si>
  <si>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</si>
  <si>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</si>
  <si>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</si>
  <si>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</si>
  <si>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</si>
  <si>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</si>
  <si>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</si>
  <si>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</si>
  <si>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</si>
  <si>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</si>
  <si>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</si>
  <si>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</si>
  <si>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</si>
  <si>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</si>
  <si>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</si>
  <si>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</si>
  <si>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</si>
  <si>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</si>
  <si>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</si>
  <si>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</si>
  <si>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</si>
  <si>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</si>
  <si>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</si>
  <si>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</si>
  <si>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</si>
  <si>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</si>
  <si>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</si>
  <si>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</si>
  <si>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</si>
  <si>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</si>
  <si>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</si>
  <si>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</si>
  <si>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</si>
  <si>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</si>
  <si>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</si>
  <si>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</si>
  <si>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</si>
  <si>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</si>
  <si>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</si>
  <si>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</si>
  <si>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</si>
  <si>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</si>
  <si>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</si>
  <si>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</si>
  <si>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</si>
  <si>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</si>
  <si>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</si>
  <si>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</si>
  <si>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</si>
  <si>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</si>
  <si>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</si>
  <si>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</si>
  <si>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</si>
  <si>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</si>
  <si>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</si>
  <si>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</si>
  <si>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</si>
  <si>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</si>
  <si>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</si>
  <si>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</si>
  <si>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</si>
  <si>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</si>
  <si>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</si>
  <si>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</si>
  <si>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</si>
  <si>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</si>
  <si>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</si>
  <si>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</si>
  <si>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</si>
  <si>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</si>
  <si>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</si>
  <si>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</si>
  <si>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</si>
  <si>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</si>
  <si>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</si>
  <si>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</si>
  <si>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</si>
  <si>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</si>
  <si>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</si>
  <si>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</si>
  <si>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</si>
  <si>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</si>
  <si>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</si>
  <si>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</si>
  <si>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</si>
  <si>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</si>
  <si>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</si>
  <si>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</si>
  <si>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</si>
  <si>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</si>
  <si>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</si>
  <si>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</si>
  <si>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</si>
  <si>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</si>
  <si>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</si>
  <si>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</si>
  <si>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</si>
  <si>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</si>
  <si>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</si>
  <si>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</si>
  <si>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</si>
  <si>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</si>
  <si>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</si>
  <si>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</si>
  <si>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</si>
  <si>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</si>
  <si>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</si>
  <si>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</si>
  <si>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</si>
  <si>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</si>
  <si>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</si>
  <si>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</si>
  <si>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</si>
  <si>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</si>
  <si>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</si>
  <si>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</si>
  <si>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</si>
  <si>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</si>
  <si>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</si>
  <si>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</si>
  <si>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</si>
  <si>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</si>
  <si>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</si>
  <si>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</si>
  <si>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</si>
  <si>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</si>
  <si>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</si>
  <si>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</si>
  <si>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</si>
  <si>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</si>
  <si>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</si>
  <si>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</si>
  <si>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</si>
  <si>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</si>
  <si>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</si>
  <si>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</si>
  <si>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</si>
  <si>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</si>
  <si>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</si>
  <si>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</si>
  <si>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</si>
  <si>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</si>
  <si>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</si>
  <si>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</si>
  <si>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</si>
  <si>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</si>
  <si>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</si>
  <si>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</si>
  <si>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</si>
  <si>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</si>
  <si>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</si>
  <si>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</si>
  <si>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</si>
  <si>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</si>
  <si>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</si>
  <si>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</si>
  <si>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</si>
  <si>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</si>
  <si>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</si>
  <si>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</si>
  <si>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</si>
  <si>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</si>
  <si>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</si>
  <si>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</si>
  <si>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</si>
  <si>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</si>
  <si>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</si>
  <si>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</si>
  <si>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</si>
  <si>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</si>
  <si>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</si>
  <si>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</si>
  <si>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</si>
  <si>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</si>
  <si>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</si>
  <si>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</si>
  <si>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</si>
  <si>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</si>
  <si>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</si>
  <si>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</si>
  <si>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</si>
  <si>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</si>
  <si>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</si>
  <si>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</si>
  <si>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</si>
  <si>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</si>
  <si>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</si>
  <si>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</si>
  <si>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</si>
  <si>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</si>
  <si>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</si>
  <si>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</si>
  <si>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</si>
  <si>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</si>
  <si>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</si>
  <si>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</si>
  <si>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</si>
  <si>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</si>
  <si>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</si>
  <si>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</si>
  <si>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</si>
  <si>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</si>
  <si>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</si>
  <si>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</si>
  <si>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</si>
  <si>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</si>
  <si>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</si>
  <si>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</si>
  <si>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</si>
  <si>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</si>
  <si>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</si>
  <si>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</si>
  <si>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</si>
  <si>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</si>
  <si>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</si>
  <si>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</si>
  <si>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</si>
  <si>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</si>
  <si>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</si>
  <si>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</si>
  <si>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</si>
  <si>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</si>
  <si>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</si>
  <si>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</si>
  <si>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</si>
  <si>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</si>
  <si>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</si>
  <si>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</si>
  <si>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</si>
  <si>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</si>
  <si>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</si>
  <si>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</si>
  <si>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</si>
  <si>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</si>
  <si>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</si>
  <si>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</si>
  <si>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</si>
  <si>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</si>
  <si>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</si>
  <si>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</si>
  <si>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</si>
  <si>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</si>
  <si>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</si>
  <si>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</si>
  <si>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</si>
  <si>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</si>
  <si>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</si>
  <si>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</si>
  <si>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</si>
  <si>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</si>
  <si>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</si>
  <si>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</si>
  <si>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</si>
  <si>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</si>
  <si>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</si>
  <si>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</si>
  <si>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</si>
  <si>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</si>
  <si>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</si>
  <si>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</si>
  <si>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</si>
  <si>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</si>
  <si>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</si>
  <si>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</si>
  <si>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</si>
  <si>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</si>
  <si>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</si>
  <si>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</si>
  <si>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</si>
  <si>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</si>
  <si>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</si>
  <si>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</si>
  <si>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</si>
  <si>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</si>
  <si>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</si>
  <si>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</si>
  <si>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</si>
  <si>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</si>
  <si>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</si>
  <si>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</si>
  <si>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</si>
  <si>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</si>
  <si>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</si>
  <si>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</si>
  <si>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</si>
  <si>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</si>
  <si>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</si>
  <si>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</si>
  <si>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</si>
  <si>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</si>
  <si>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</si>
  <si>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</si>
  <si>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</si>
  <si>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</si>
  <si>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</si>
  <si>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</si>
  <si>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</si>
  <si>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</si>
  <si>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</si>
  <si>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</si>
  <si>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</si>
  <si>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</si>
  <si>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</si>
  <si>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</si>
  <si>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</si>
  <si>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</si>
  <si>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</si>
  <si>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</si>
  <si>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</si>
  <si>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</si>
  <si>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</si>
  <si>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</si>
  <si>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</si>
  <si>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</si>
  <si>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</si>
  <si>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</si>
  <si>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</si>
  <si>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</si>
  <si>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</si>
  <si>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</si>
  <si>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</si>
  <si>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</si>
  <si>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</si>
  <si>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</si>
  <si>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</si>
  <si>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</si>
  <si>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</si>
  <si>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</si>
  <si>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</si>
  <si>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</si>
  <si>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</si>
  <si>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</si>
  <si>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</si>
  <si>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</si>
  <si>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</si>
  <si>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</si>
  <si>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</si>
  <si>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</si>
  <si>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</si>
  <si>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</si>
  <si>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</si>
  <si>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</si>
  <si>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</si>
  <si>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</si>
  <si>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</si>
  <si>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</si>
  <si>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</si>
  <si>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</si>
  <si>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</si>
  <si>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</si>
  <si>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</si>
  <si>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</si>
  <si>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</si>
  <si>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</si>
  <si>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</si>
  <si>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</si>
  <si>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</si>
  <si>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</si>
  <si>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</si>
  <si>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</si>
  <si>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</si>
  <si>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</si>
  <si>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</si>
  <si>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</si>
  <si>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</si>
  <si>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</si>
  <si>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</si>
  <si>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</si>
  <si>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</si>
  <si>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</si>
  <si>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</si>
  <si>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</si>
  <si>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</si>
  <si>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</si>
  <si>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</si>
  <si>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</si>
  <si>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</si>
  <si>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</si>
  <si>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</si>
  <si>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</si>
  <si>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</si>
  <si>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</si>
  <si>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</si>
  <si>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</si>
  <si>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</si>
  <si>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</si>
  <si>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</si>
  <si>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</si>
  <si>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</si>
  <si>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</si>
  <si>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</si>
  <si>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</si>
  <si>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</si>
  <si>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</si>
  <si>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</si>
  <si>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</si>
  <si>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</si>
  <si>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</si>
  <si>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</si>
  <si>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</si>
  <si>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</si>
  <si>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</si>
  <si>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</si>
  <si>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</si>
  <si>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</si>
  <si>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</si>
  <si>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</si>
  <si>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</si>
  <si>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</si>
  <si>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</si>
  <si>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</si>
  <si>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</si>
  <si>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</si>
  <si>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</si>
  <si>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</si>
  <si>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</si>
  <si>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</si>
  <si>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</si>
  <si>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</si>
  <si>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</si>
  <si>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</si>
  <si>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</si>
  <si>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</si>
  <si>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</si>
  <si>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</si>
  <si>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</si>
  <si>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</si>
  <si>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</si>
  <si>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</si>
  <si>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</si>
  <si>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</si>
  <si>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</si>
  <si>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</si>
  <si>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</si>
  <si>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</si>
  <si>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</si>
  <si>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</si>
  <si>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</si>
  <si>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</si>
  <si>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</si>
  <si>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</si>
  <si>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</si>
  <si>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</si>
  <si>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</si>
  <si>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</si>
  <si>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</si>
  <si>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</si>
  <si>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</si>
  <si>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</si>
  <si>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</si>
  <si>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</si>
  <si>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</si>
  <si>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</si>
  <si>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</si>
  <si>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</si>
  <si>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</si>
  <si>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</si>
  <si>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</si>
  <si>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</si>
  <si>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</si>
  <si>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</si>
  <si>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</si>
  <si>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</si>
  <si>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</si>
  <si>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</si>
  <si>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</si>
  <si>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</si>
  <si>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</si>
  <si>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</si>
  <si>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</si>
  <si>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</si>
  <si>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</si>
  <si>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</si>
  <si>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</si>
  <si>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</si>
  <si>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</si>
  <si>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</si>
  <si>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</si>
  <si>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</si>
  <si>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</si>
  <si>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</si>
  <si>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</si>
  <si>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</si>
  <si>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</si>
  <si>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</si>
  <si>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</si>
  <si>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</si>
  <si>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</si>
  <si>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</si>
  <si>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</si>
  <si>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</si>
  <si>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</si>
  <si>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</si>
  <si>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</si>
  <si>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</si>
  <si>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</si>
  <si>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</si>
  <si>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</si>
  <si>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</si>
  <si>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</si>
  <si>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</si>
  <si>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</si>
  <si>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</si>
  <si>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</si>
  <si>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</si>
  <si>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</si>
  <si>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</si>
  <si>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</si>
  <si>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</si>
  <si>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</si>
  <si>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</si>
  <si>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</si>
  <si>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</si>
  <si>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</si>
  <si>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</si>
  <si>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</si>
  <si>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</si>
  <si>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</si>
  <si>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</si>
  <si>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</si>
  <si>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</si>
  <si>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</si>
  <si>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</si>
  <si>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</si>
  <si>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</si>
  <si>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</si>
  <si>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</si>
  <si>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</si>
  <si>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</si>
  <si>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</si>
  <si>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</si>
  <si>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</si>
  <si>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</si>
  <si>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</si>
  <si>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</si>
  <si>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</si>
  <si>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</si>
  <si>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</si>
  <si>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</si>
  <si>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</si>
  <si>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</si>
  <si>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</si>
  <si>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</si>
  <si>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</si>
  <si>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</si>
  <si>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</si>
  <si>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</si>
  <si>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</si>
  <si>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</si>
  <si>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</si>
  <si>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</si>
  <si>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</si>
  <si>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</si>
  <si>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</si>
  <si>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</si>
  <si>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</si>
  <si>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</si>
  <si>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</si>
  <si>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</si>
  <si>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</si>
  <si>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</si>
  <si>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</si>
  <si>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</si>
  <si>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</si>
  <si>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</si>
  <si>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</si>
  <si>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</si>
  <si>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</si>
  <si>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</si>
  <si>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</si>
  <si>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</si>
  <si>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</si>
  <si>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</si>
  <si>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</si>
  <si>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</si>
  <si>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</si>
  <si>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</si>
  <si>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</si>
  <si>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</si>
  <si>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</si>
  <si>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</si>
  <si>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</si>
  <si>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</si>
  <si>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</si>
  <si>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</si>
  <si>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</si>
  <si>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</si>
  <si>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</si>
  <si>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</si>
  <si>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</si>
  <si>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</si>
  <si>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</si>
  <si>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</si>
  <si>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</si>
  <si>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</si>
  <si>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</si>
  <si>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</si>
  <si>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</si>
  <si>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</si>
  <si>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</si>
  <si>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</si>
  <si>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</si>
  <si>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</si>
  <si>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</si>
  <si>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</si>
  <si>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</si>
  <si>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</si>
  <si>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</si>
  <si>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</si>
  <si>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</si>
  <si>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</si>
  <si>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</si>
  <si>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</si>
  <si>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</si>
  <si>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</si>
  <si>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</si>
  <si>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</si>
  <si>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</si>
  <si>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</si>
  <si>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</si>
  <si>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</si>
  <si>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</si>
  <si>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</si>
  <si>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</si>
  <si>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</si>
  <si>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</si>
  <si>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</si>
  <si>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</si>
  <si>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</si>
  <si>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</si>
  <si>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</si>
  <si>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</si>
  <si>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</si>
  <si>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</si>
  <si>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</si>
  <si>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</si>
  <si>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</si>
  <si>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</si>
  <si>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</si>
  <si>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</si>
  <si>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</si>
  <si>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</si>
  <si>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</si>
  <si>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</si>
  <si>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</si>
  <si>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</si>
  <si>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</si>
  <si>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</si>
  <si>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</si>
  <si>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</si>
  <si>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</si>
  <si>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</si>
  <si>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</si>
  <si>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</si>
  <si>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</si>
  <si>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</si>
  <si>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</si>
  <si>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</si>
  <si>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</si>
  <si>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</si>
  <si>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</si>
  <si>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</si>
  <si>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</si>
  <si>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</si>
  <si>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</si>
  <si>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</si>
  <si>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</si>
  <si>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</si>
  <si>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</si>
  <si>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</si>
  <si>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</si>
  <si>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</si>
  <si>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</si>
  <si>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</si>
  <si>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</si>
  <si>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</si>
  <si>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</si>
  <si>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</si>
  <si>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</si>
  <si>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</si>
  <si>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</si>
  <si>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</si>
  <si>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</si>
  <si>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</si>
  <si>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</si>
  <si>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</si>
  <si>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</si>
  <si>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</si>
  <si>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</si>
  <si>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</si>
  <si>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</si>
  <si>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</si>
  <si>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</si>
  <si>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</si>
  <si>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</si>
  <si>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</si>
  <si>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</si>
  <si>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</si>
  <si>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</si>
  <si>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</si>
  <si>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</si>
  <si>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</si>
  <si>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</si>
  <si>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</si>
  <si>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</si>
  <si>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</si>
  <si>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</si>
  <si>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</si>
  <si>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</si>
  <si>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</si>
  <si>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</si>
  <si>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</si>
  <si>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</si>
  <si>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</si>
  <si>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</si>
  <si>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</si>
  <si>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</si>
  <si>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</si>
  <si>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</si>
  <si>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</si>
  <si>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</si>
  <si>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</si>
  <si>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</si>
  <si>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</si>
  <si>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</si>
  <si>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</si>
  <si>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</si>
  <si>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</si>
  <si>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</si>
  <si>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</si>
  <si>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</si>
  <si>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</si>
  <si>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</si>
  <si>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</si>
  <si>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</si>
  <si>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</si>
  <si>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</si>
  <si>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</si>
  <si>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</si>
  <si>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</si>
  <si>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</si>
  <si>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</si>
  <si>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</si>
  <si>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</si>
  <si>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</si>
  <si>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</si>
  <si>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</si>
  <si>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</si>
  <si>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</si>
  <si>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</si>
  <si>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</si>
  <si>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</si>
  <si>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</si>
  <si>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</si>
  <si>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</si>
  <si>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</si>
  <si>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</si>
  <si>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</si>
  <si>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</si>
  <si>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</si>
  <si>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</si>
  <si>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</si>
  <si>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</si>
  <si>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</si>
  <si>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</si>
  <si>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</si>
  <si>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</si>
  <si>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</si>
  <si>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</si>
  <si>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</si>
  <si>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</si>
  <si>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</si>
  <si>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</si>
  <si>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</si>
  <si>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</si>
  <si>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</si>
  <si>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</si>
  <si>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</si>
  <si>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</si>
  <si>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</si>
  <si>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</si>
  <si>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</si>
  <si>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</si>
  <si>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</si>
  <si>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</si>
  <si>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</si>
  <si>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</si>
  <si>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</si>
  <si>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</si>
  <si>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</si>
  <si>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</si>
  <si>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</si>
  <si>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</si>
  <si>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</si>
  <si>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</si>
  <si>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</si>
  <si>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</si>
  <si>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</si>
  <si>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</si>
  <si>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</si>
  <si>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</si>
  <si>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</si>
  <si>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</si>
  <si>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</si>
  <si>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</si>
  <si>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</si>
  <si>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</si>
  <si>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</si>
  <si>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</si>
  <si>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</si>
  <si>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</si>
  <si>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</si>
  <si>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</si>
  <si>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</si>
  <si>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</si>
  <si>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</si>
  <si>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</si>
  <si>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</si>
  <si>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</si>
  <si>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</si>
  <si>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</si>
  <si>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</si>
  <si>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</si>
  <si>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</si>
  <si>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</si>
  <si>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</si>
  <si>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</si>
  <si>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</si>
  <si>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</si>
  <si>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</si>
  <si>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</si>
  <si>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</si>
  <si>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</si>
  <si>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</si>
  <si>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</si>
  <si>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</si>
  <si>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</si>
  <si>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</si>
  <si>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</si>
  <si>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</si>
  <si>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</si>
  <si>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</si>
  <si>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</si>
  <si>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</si>
  <si>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</si>
  <si>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</si>
  <si>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</si>
  <si>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</si>
  <si>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</si>
  <si>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</si>
  <si>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</si>
  <si>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</si>
  <si>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</si>
  <si>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</si>
  <si>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</si>
  <si>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</si>
  <si>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</si>
  <si>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</si>
  <si>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</si>
  <si>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</si>
  <si>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</si>
  <si>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</si>
  <si>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</si>
  <si>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</si>
  <si>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</si>
  <si>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</si>
  <si>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</si>
  <si>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</si>
  <si>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</si>
  <si>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</si>
  <si>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</si>
  <si>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</si>
  <si>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</si>
  <si>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</si>
  <si>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</si>
  <si>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</si>
  <si>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</si>
  <si>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</si>
  <si>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</si>
  <si>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</si>
  <si>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</si>
  <si>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</si>
  <si>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</si>
  <si>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</si>
  <si>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</si>
  <si>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</si>
  <si>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</si>
  <si>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</si>
  <si>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</si>
  <si>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</si>
  <si>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</si>
  <si>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</si>
  <si>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</si>
  <si>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</si>
  <si>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</si>
  <si>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</si>
  <si>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</si>
  <si>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</si>
  <si>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</si>
  <si>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</si>
  <si>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</si>
  <si>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</si>
  <si>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</si>
  <si>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</si>
  <si>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</si>
  <si>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</si>
  <si>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</si>
  <si>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</si>
  <si>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</si>
  <si>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</si>
  <si>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</si>
  <si>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</si>
  <si>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</si>
  <si>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</si>
  <si>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</si>
  <si>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</si>
  <si>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</si>
  <si>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</si>
  <si>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</si>
  <si>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</si>
  <si>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</si>
  <si>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</si>
  <si>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</si>
  <si>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</si>
  <si>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</si>
  <si>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</si>
  <si>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</si>
  <si>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</si>
  <si>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</si>
  <si>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</si>
  <si>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</si>
  <si>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</si>
  <si>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</si>
  <si>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</si>
  <si>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</si>
  <si>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</si>
  <si>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</si>
  <si>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</si>
  <si>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</si>
  <si>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</si>
  <si>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</si>
  <si>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</si>
  <si>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</si>
  <si>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</si>
  <si>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</si>
  <si>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</si>
  <si>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</si>
  <si>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</si>
  <si>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</si>
  <si>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</si>
  <si>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</si>
  <si>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</si>
  <si>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</si>
  <si>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</si>
  <si>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</si>
  <si>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</si>
  <si>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</si>
  <si>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</si>
  <si>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</si>
  <si>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</si>
  <si>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</si>
  <si>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</si>
  <si>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</si>
  <si>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</si>
  <si>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</si>
  <si>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</si>
  <si>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</si>
  <si>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</si>
  <si>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</si>
  <si>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</si>
  <si>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</si>
  <si>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</si>
  <si>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</si>
  <si>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</si>
  <si>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</si>
  <si>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</si>
  <si>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</si>
  <si>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</si>
  <si>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</si>
  <si>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</si>
  <si>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</si>
  <si>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</si>
  <si>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</si>
  <si>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</si>
  <si>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</si>
  <si>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</si>
  <si>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</si>
  <si>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</si>
  <si>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</si>
  <si>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</si>
  <si>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</si>
  <si>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</si>
  <si>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</si>
  <si>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</si>
  <si>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</si>
  <si>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</si>
  <si>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</si>
  <si>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</si>
  <si>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</si>
  <si>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</si>
  <si>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</si>
  <si>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</si>
  <si>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</si>
  <si>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</si>
  <si>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</si>
  <si>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</si>
  <si>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</si>
  <si>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</si>
  <si>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</si>
  <si>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</si>
  <si>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</si>
  <si>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</si>
  <si>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</si>
  <si>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</si>
  <si>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</si>
  <si>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</si>
  <si>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</si>
  <si>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</si>
  <si>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</si>
  <si>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</si>
  <si>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</si>
  <si>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</si>
  <si>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</si>
  <si>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</si>
  <si>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</si>
  <si>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</si>
  <si>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</si>
  <si>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</si>
  <si>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</si>
  <si>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</si>
  <si>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</si>
  <si>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</si>
  <si>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</si>
  <si>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</si>
  <si>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</si>
  <si>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</si>
  <si>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</si>
  <si>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</si>
  <si>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</si>
  <si>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</si>
  <si>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</si>
  <si>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</si>
  <si>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</si>
  <si>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</si>
  <si>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</si>
  <si>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</si>
  <si>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</si>
  <si>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</si>
  <si>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</si>
  <si>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</si>
  <si>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</si>
  <si>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</si>
  <si>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</si>
  <si>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</si>
  <si>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</si>
  <si>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</si>
  <si>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</si>
  <si>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</si>
  <si>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</si>
  <si>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</si>
  <si>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</si>
  <si>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</si>
  <si>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</si>
  <si>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</si>
  <si>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</si>
  <si>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</si>
  <si>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</si>
  <si>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</si>
  <si>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</si>
  <si>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</si>
  <si>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</si>
  <si>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</si>
  <si>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</si>
  <si>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</si>
  <si>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</si>
  <si>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</si>
  <si>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</si>
  <si>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</si>
  <si>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</si>
  <si>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</si>
  <si>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</si>
  <si>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</si>
  <si>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</si>
  <si>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</si>
  <si>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</si>
  <si>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</si>
  <si>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</si>
  <si>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</si>
  <si>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</si>
  <si>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</si>
  <si>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</si>
  <si>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</si>
  <si>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</si>
  <si>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</si>
  <si>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</si>
  <si>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</si>
  <si>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</si>
  <si>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</si>
  <si>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</si>
  <si>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</si>
  <si>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</si>
  <si>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</si>
  <si>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</si>
  <si>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</si>
  <si>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</si>
  <si>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</si>
  <si>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</si>
  <si>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</si>
  <si>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</si>
  <si>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</si>
  <si>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</si>
  <si>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</si>
  <si>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</si>
  <si>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</si>
  <si>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</si>
  <si>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</si>
  <si>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</si>
  <si>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</si>
  <si>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</si>
  <si>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</si>
  <si>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</si>
  <si>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</si>
  <si>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</si>
  <si>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</si>
  <si>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</si>
  <si>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</si>
  <si>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</si>
  <si>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</si>
  <si>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</si>
  <si>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</si>
  <si>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</si>
  <si>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</si>
  <si>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</si>
  <si>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</si>
  <si>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</si>
  <si>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</si>
  <si>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</si>
  <si>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</si>
  <si>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</si>
  <si>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</si>
  <si>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</si>
  <si>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</si>
  <si>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</si>
  <si>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</si>
  <si>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</si>
  <si>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</si>
  <si>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</si>
  <si>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</si>
  <si>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</si>
  <si>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</si>
  <si>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</si>
  <si>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</si>
  <si>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</si>
  <si>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</si>
  <si>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</si>
  <si>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</si>
  <si>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</si>
  <si>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</si>
  <si>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</si>
  <si>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</si>
  <si>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</si>
  <si>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</si>
  <si>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</si>
  <si>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</si>
  <si>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</si>
  <si>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</si>
  <si>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</si>
  <si>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</si>
  <si>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</si>
  <si>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</si>
  <si>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</si>
  <si>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</si>
  <si>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</si>
  <si>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</si>
  <si>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</si>
  <si>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</si>
  <si>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</si>
  <si>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</si>
  <si>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</si>
  <si>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</si>
  <si>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</si>
  <si>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</si>
  <si>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</si>
  <si>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</si>
  <si>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</si>
  <si>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</si>
  <si>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</si>
  <si>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</si>
  <si>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</si>
  <si>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</si>
  <si>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</si>
  <si>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</si>
  <si>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</si>
  <si>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</si>
  <si>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</si>
  <si>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</si>
  <si>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</si>
  <si>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</si>
  <si>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</si>
  <si>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</si>
  <si>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</si>
  <si>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</si>
  <si>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</si>
  <si>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</si>
  <si>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</si>
  <si>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</si>
  <si>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</si>
  <si>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</si>
  <si>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</si>
  <si>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</si>
  <si>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</si>
  <si>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</si>
  <si>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</si>
  <si>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</si>
  <si>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</si>
  <si>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</si>
  <si>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</si>
  <si>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</si>
  <si>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</si>
  <si>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</si>
  <si>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</si>
  <si>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</si>
  <si>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</si>
  <si>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</si>
  <si>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</si>
  <si>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</si>
  <si>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</si>
  <si>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</si>
  <si>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</si>
  <si>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</si>
  <si>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</si>
  <si>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</si>
  <si>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</si>
  <si>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</si>
  <si>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</si>
  <si>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</si>
  <si>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</si>
  <si>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</si>
  <si>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</si>
  <si>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</si>
  <si>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</si>
  <si>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</si>
  <si>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</si>
  <si>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</si>
  <si>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</si>
  <si>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</si>
  <si>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</si>
  <si>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</si>
  <si>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</si>
  <si>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</si>
  <si>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</si>
  <si>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</si>
  <si>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</si>
  <si>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</si>
  <si>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</si>
  <si>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</si>
  <si>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</si>
  <si>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</si>
  <si>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</si>
  <si>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</si>
  <si>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</si>
  <si>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</si>
  <si>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</si>
  <si>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</si>
  <si>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</si>
  <si>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</si>
  <si>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</si>
  <si>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</si>
  <si>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</si>
  <si>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</si>
  <si>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</si>
  <si>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</si>
  <si>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</si>
  <si>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</si>
  <si>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</si>
  <si>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</si>
  <si>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</si>
  <si>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</si>
  <si>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</si>
  <si>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</si>
  <si>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</si>
  <si>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</si>
  <si>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</si>
  <si>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</si>
  <si>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</si>
  <si>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</si>
  <si>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</si>
  <si>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</si>
  <si>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</si>
  <si>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</si>
  <si>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</si>
  <si>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</si>
  <si>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</si>
  <si>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</si>
  <si>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</si>
  <si>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</si>
  <si>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</si>
  <si>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</si>
  <si>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</si>
  <si>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</si>
  <si>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</si>
  <si>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</si>
  <si>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</si>
  <si>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</si>
  <si>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</si>
  <si>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</si>
  <si>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</si>
  <si>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</si>
  <si>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</si>
  <si>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</si>
  <si>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</si>
  <si>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</si>
  <si>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</si>
  <si>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</si>
  <si>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</si>
  <si>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</si>
  <si>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</si>
  <si>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</si>
  <si>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</si>
  <si>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</si>
  <si>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</si>
  <si>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</si>
  <si>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</si>
  <si>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</si>
  <si>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</si>
  <si>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</si>
  <si>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</si>
  <si>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</si>
  <si>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</si>
  <si>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</si>
  <si>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</si>
  <si>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</si>
  <si>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</si>
  <si>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</si>
  <si>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</si>
  <si>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</si>
  <si>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</si>
  <si>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</si>
  <si>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</si>
  <si>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</si>
  <si>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</si>
  <si>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</si>
  <si>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</si>
  <si>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</si>
  <si>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</si>
  <si>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</si>
  <si>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</si>
  <si>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</si>
  <si>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</si>
  <si>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</si>
  <si>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</si>
  <si>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</si>
  <si>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</si>
  <si>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</si>
  <si>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</si>
  <si>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</si>
  <si>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</si>
  <si>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</si>
  <si>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</si>
  <si>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</si>
  <si>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</si>
  <si>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</si>
  <si>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</si>
  <si>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</si>
  <si>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</si>
  <si>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</si>
  <si>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</si>
  <si>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</si>
  <si>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</si>
  <si>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</si>
  <si>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</si>
  <si>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</si>
  <si>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</si>
  <si>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</si>
  <si>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</si>
  <si>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</si>
  <si>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</si>
  <si>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</si>
  <si>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</si>
  <si>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</si>
  <si>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</si>
  <si>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</si>
  <si>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</si>
  <si>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</si>
  <si>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</si>
  <si>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</si>
  <si>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</si>
  <si>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</si>
  <si>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</si>
  <si>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</si>
  <si>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</si>
  <si>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</si>
  <si>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</si>
  <si>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</si>
  <si>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</si>
  <si>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</si>
  <si>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</si>
  <si>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</si>
  <si>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</si>
  <si>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</si>
  <si>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</si>
  <si>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</si>
  <si>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</si>
  <si>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</si>
  <si>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</si>
  <si>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</si>
  <si>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</si>
  <si>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</si>
  <si>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</si>
  <si>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</si>
  <si>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</si>
  <si>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</si>
  <si>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</si>
  <si>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</si>
  <si>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</si>
  <si>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</si>
  <si>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</si>
  <si>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</si>
  <si>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</si>
  <si>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</si>
  <si>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</si>
  <si>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</si>
  <si>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</si>
  <si>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</si>
  <si>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</si>
  <si>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</si>
  <si>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</si>
  <si>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</si>
  <si>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</si>
  <si>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</si>
  <si>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</si>
  <si>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</si>
  <si>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</si>
  <si>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</si>
  <si>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</si>
  <si>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</si>
  <si>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</si>
  <si>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</si>
  <si>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</si>
  <si>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</si>
  <si>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</si>
  <si>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</si>
  <si>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</si>
  <si>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</si>
  <si>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</si>
  <si>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</si>
  <si>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</si>
  <si>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</si>
  <si>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</si>
  <si>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</si>
  <si>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</si>
  <si>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</si>
  <si>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</si>
  <si>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</si>
  <si>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</si>
  <si>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</si>
  <si>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</si>
  <si>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</si>
  <si>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</si>
  <si>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</si>
  <si>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</si>
  <si>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</si>
  <si>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</si>
  <si>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</si>
  <si>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</si>
  <si>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</si>
  <si>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</si>
  <si>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</si>
  <si>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</si>
  <si>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</si>
  <si>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</si>
  <si>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</si>
  <si>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</si>
  <si>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</si>
  <si>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</si>
  <si>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</si>
  <si>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</si>
  <si>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</si>
  <si>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</si>
  <si>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</si>
  <si>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</si>
  <si>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</si>
  <si>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</si>
  <si>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</si>
  <si>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</si>
  <si>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</si>
  <si>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</si>
  <si>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</si>
  <si>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</si>
  <si>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</si>
  <si>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</si>
  <si>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</si>
  <si>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</si>
  <si>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</si>
  <si>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</si>
  <si>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</si>
  <si>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</si>
  <si>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</si>
  <si>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</si>
  <si>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</si>
  <si>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</si>
  <si>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</si>
  <si>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</si>
  <si>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</si>
  <si>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</si>
  <si>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</si>
  <si>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</si>
  <si>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</si>
  <si>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</si>
  <si>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</si>
  <si>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</si>
  <si>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</si>
  <si>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</si>
  <si>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</si>
  <si>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</si>
  <si>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</si>
  <si>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</si>
  <si>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</si>
  <si>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</si>
  <si>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</si>
  <si>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</si>
  <si>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</si>
  <si>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</si>
  <si>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</si>
  <si>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</si>
  <si>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</si>
  <si>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</si>
  <si>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</si>
  <si>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</si>
  <si>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</si>
  <si>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</si>
  <si>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</si>
  <si>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</si>
  <si>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</si>
  <si>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</si>
  <si>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</si>
  <si>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</si>
  <si>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</si>
  <si>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</si>
  <si>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</si>
  <si>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</si>
  <si>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</si>
  <si>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</si>
  <si>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</si>
  <si>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</si>
  <si>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</si>
  <si>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</si>
  <si>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</si>
  <si>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</si>
  <si>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</si>
  <si>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</si>
  <si>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</si>
  <si>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</si>
  <si>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</si>
  <si>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</si>
  <si>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</si>
  <si>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</si>
  <si>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</si>
  <si>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</si>
  <si>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</si>
  <si>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</si>
  <si>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</si>
  <si>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</si>
  <si>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</si>
  <si>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</si>
  <si>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</si>
  <si>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</si>
  <si>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</si>
  <si>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</si>
  <si>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</si>
  <si>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</si>
  <si>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</si>
  <si>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</si>
  <si>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</si>
  <si>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</si>
  <si>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</si>
  <si>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</si>
  <si>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</si>
  <si>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</si>
  <si>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</si>
  <si>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</si>
  <si>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</si>
  <si>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</si>
  <si>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</si>
  <si>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</si>
  <si>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</si>
  <si>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</si>
  <si>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</si>
  <si>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</si>
  <si>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</si>
  <si>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</si>
  <si>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</si>
  <si>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</si>
  <si>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</si>
  <si>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</si>
  <si>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</si>
  <si>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</si>
  <si>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</si>
  <si>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</si>
  <si>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</si>
  <si>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</si>
  <si>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</si>
  <si>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</si>
  <si>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</si>
  <si>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</si>
  <si>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</si>
  <si>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</si>
  <si>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</si>
  <si>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</si>
  <si>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</si>
  <si>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</si>
  <si>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</si>
  <si>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</si>
  <si>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</si>
  <si>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</si>
  <si>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</si>
  <si>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</si>
  <si>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</si>
  <si>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</si>
  <si>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</si>
  <si>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</si>
  <si>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</si>
  <si>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</si>
  <si>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</si>
  <si>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</si>
  <si>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</si>
  <si>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</si>
  <si>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</si>
  <si>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</si>
  <si>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</si>
  <si>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</si>
  <si>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</si>
  <si>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</si>
  <si>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</si>
  <si>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</si>
  <si>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</si>
  <si>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</si>
  <si>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</si>
  <si>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</si>
  <si>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</si>
  <si>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</si>
  <si>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</si>
  <si>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</si>
  <si>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</si>
  <si>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</si>
  <si>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</si>
  <si>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</si>
  <si>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</si>
  <si>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</si>
  <si>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</si>
  <si>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</si>
  <si>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</si>
  <si>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</si>
  <si>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</si>
  <si>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</si>
  <si>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</si>
  <si>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</si>
  <si>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</si>
  <si>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</si>
  <si>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</si>
  <si>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</si>
  <si>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</si>
  <si>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</si>
  <si>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</si>
  <si>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</si>
  <si>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</si>
  <si>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</si>
  <si>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</si>
  <si>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</si>
  <si>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</si>
  <si>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</si>
  <si>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</si>
  <si>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</si>
  <si>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</si>
  <si>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</si>
  <si>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</si>
  <si>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</si>
  <si>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</si>
  <si>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</si>
  <si>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</si>
  <si>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</si>
  <si>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</si>
  <si>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</si>
  <si>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</si>
  <si>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</si>
  <si>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</si>
  <si>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</si>
  <si>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</si>
  <si>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</si>
  <si>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</si>
  <si>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</si>
  <si>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</si>
  <si>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</si>
  <si>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</si>
  <si>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</si>
  <si>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</si>
  <si>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</si>
  <si>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</si>
  <si>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</si>
  <si>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</si>
  <si>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</si>
  <si>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</si>
  <si>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</si>
  <si>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</si>
  <si>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</si>
  <si>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</si>
  <si>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</si>
  <si>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</si>
  <si>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</si>
  <si>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</si>
  <si>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</si>
  <si>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</si>
  <si>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</si>
  <si>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</si>
  <si>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</si>
  <si>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</si>
  <si>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</si>
  <si>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</si>
  <si>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</si>
  <si>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</si>
  <si>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</si>
  <si>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</si>
  <si>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</si>
  <si>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</si>
  <si>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</si>
  <si>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</si>
  <si>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</si>
  <si>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</si>
  <si>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</si>
  <si>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</si>
  <si>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</si>
  <si>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</si>
  <si>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</si>
  <si>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</si>
  <si>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</si>
  <si>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</si>
  <si>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</si>
  <si>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</si>
  <si>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</si>
  <si>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</si>
  <si>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</si>
  <si>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</si>
  <si>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</si>
  <si>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</si>
  <si>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</si>
  <si>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</si>
  <si>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</si>
  <si>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</si>
  <si>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</si>
  <si>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</si>
  <si>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</si>
  <si>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</si>
  <si>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</si>
  <si>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</si>
  <si>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</si>
  <si>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</si>
  <si>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</si>
  <si>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</si>
  <si>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</si>
  <si>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</si>
  <si>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</si>
  <si>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</si>
  <si>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</si>
  <si>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</si>
  <si>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</si>
  <si>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</si>
  <si>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</si>
  <si>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</si>
  <si>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</si>
  <si>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</si>
  <si>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</si>
  <si>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</si>
  <si>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</si>
  <si>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</si>
  <si>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</si>
  <si>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</si>
  <si>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</si>
  <si>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</si>
  <si>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</si>
  <si>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</si>
  <si>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</si>
  <si>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</si>
  <si>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</si>
  <si>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</si>
  <si>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</si>
  <si>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</si>
  <si>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</si>
  <si>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</si>
  <si>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</si>
  <si>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</si>
  <si>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</si>
  <si>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</si>
  <si>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</si>
  <si>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</si>
  <si>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</si>
  <si>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</si>
  <si>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</si>
  <si>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</si>
  <si>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</si>
  <si>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</si>
  <si>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</si>
  <si>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</si>
  <si>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</si>
  <si>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</si>
  <si>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</si>
  <si>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</si>
  <si>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</si>
  <si>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</si>
  <si>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</si>
  <si>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</si>
  <si>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</si>
  <si>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</si>
  <si>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</si>
  <si>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</si>
  <si>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</si>
  <si>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</si>
  <si>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</si>
  <si>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</si>
  <si>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</si>
  <si>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</si>
  <si>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</si>
  <si>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</si>
  <si>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</si>
  <si>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</si>
  <si>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</si>
  <si>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</si>
  <si>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</si>
  <si>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</si>
  <si>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</si>
  <si>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</si>
  <si>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</si>
  <si>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</si>
  <si>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</si>
  <si>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</si>
  <si>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</si>
  <si>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</si>
  <si>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</si>
  <si>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</si>
  <si>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</si>
  <si>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</si>
  <si>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</si>
  <si>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</si>
  <si>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</si>
  <si>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</si>
  <si>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</si>
  <si>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</si>
  <si>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</si>
  <si>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</si>
  <si>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</si>
  <si>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</si>
  <si>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</si>
  <si>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</si>
  <si>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</si>
  <si>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</si>
  <si>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</si>
  <si>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</si>
  <si>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</si>
  <si>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</si>
  <si>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</si>
  <si>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</si>
  <si>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</si>
  <si>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</si>
  <si>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</si>
  <si>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</si>
  <si>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</si>
  <si>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</si>
  <si>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</si>
  <si>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</si>
  <si>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</si>
  <si>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</si>
  <si>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</si>
  <si>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</si>
  <si>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</si>
  <si>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</si>
  <si>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</si>
  <si>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</si>
  <si>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</si>
  <si>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</si>
  <si>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</si>
  <si>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</si>
  <si>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</si>
  <si>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</si>
  <si>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</si>
  <si>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</si>
  <si>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</si>
  <si>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</si>
  <si>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</si>
  <si>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</si>
  <si>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</si>
  <si>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</si>
  <si>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</si>
  <si>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</si>
  <si>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</si>
  <si>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</si>
  <si>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</si>
  <si>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</si>
  <si>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</si>
  <si>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</si>
  <si>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</si>
  <si>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</si>
  <si>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</si>
  <si>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</si>
  <si>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</si>
  <si>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</si>
  <si>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</si>
  <si>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</si>
  <si>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</si>
  <si>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</si>
  <si>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</si>
  <si>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</si>
  <si>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</si>
  <si>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</si>
  <si>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</si>
  <si>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</si>
  <si>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</si>
  <si>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</si>
  <si>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</si>
  <si>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</si>
  <si>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</si>
  <si>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</si>
  <si>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</si>
  <si>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</si>
  <si>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</si>
  <si>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</si>
  <si>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</si>
  <si>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</si>
  <si>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</si>
  <si>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</si>
  <si>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</si>
  <si>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</si>
  <si>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</si>
  <si>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</si>
  <si>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</si>
  <si>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</si>
  <si>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</si>
  <si>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</si>
  <si>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</si>
  <si>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</si>
  <si>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</si>
  <si>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</si>
  <si>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</si>
  <si>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</si>
  <si>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</si>
  <si>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</si>
  <si>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</si>
  <si>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</si>
  <si>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</si>
  <si>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</si>
  <si>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</si>
  <si>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</si>
  <si>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</si>
  <si>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</si>
  <si>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</si>
  <si>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</si>
  <si>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</si>
  <si>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</si>
  <si>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</si>
  <si>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</si>
  <si>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</si>
  <si>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</si>
  <si>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</si>
  <si>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</si>
  <si>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</si>
  <si>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</si>
  <si>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</si>
  <si>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</si>
  <si>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</si>
  <si>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</si>
  <si>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</si>
  <si>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</si>
  <si>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</si>
  <si>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</si>
  <si>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</si>
  <si>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</si>
  <si>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</si>
  <si>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</si>
  <si>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</si>
  <si>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</si>
  <si>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</si>
  <si>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</si>
  <si>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</si>
  <si>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</si>
  <si>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</si>
  <si>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</si>
  <si>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</si>
  <si>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</si>
  <si>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</si>
  <si>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</si>
  <si>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</si>
  <si>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</si>
  <si>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</si>
  <si>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</si>
  <si>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</si>
  <si>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</si>
  <si>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</si>
  <si>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</si>
  <si>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</si>
  <si>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</si>
  <si>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</si>
  <si>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</si>
  <si>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</si>
  <si>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</si>
  <si>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</si>
  <si>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</si>
  <si>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</si>
  <si>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</si>
  <si>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</si>
  <si>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</si>
  <si>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</si>
  <si>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</si>
  <si>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</si>
  <si>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</si>
  <si>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</si>
  <si>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</si>
  <si>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</si>
  <si>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</si>
  <si>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</si>
  <si>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</si>
  <si>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</si>
  <si>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</si>
  <si>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</si>
  <si>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</si>
  <si>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</si>
  <si>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</si>
  <si>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</si>
  <si>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</si>
  <si>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</si>
  <si>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</si>
  <si>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</si>
  <si>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</si>
  <si>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</si>
  <si>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</si>
  <si>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</si>
  <si>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</si>
  <si>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</si>
  <si>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</si>
  <si>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</si>
  <si>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</si>
  <si>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</si>
  <si>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</si>
  <si>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</si>
  <si>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</si>
  <si>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</si>
  <si>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</si>
  <si>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</si>
  <si>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</si>
  <si>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</si>
  <si>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</si>
  <si>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</si>
  <si>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</si>
  <si>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</si>
  <si>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</si>
  <si>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</si>
  <si>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</si>
  <si>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</si>
  <si>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</si>
  <si>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</si>
  <si>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</si>
  <si>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</si>
  <si>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</si>
  <si>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</si>
  <si>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</si>
  <si>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</si>
  <si>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</si>
  <si>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</si>
  <si>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</si>
  <si>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</si>
  <si>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</si>
  <si>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</si>
  <si>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</si>
  <si>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</si>
  <si>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</si>
  <si>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</si>
  <si>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</si>
  <si>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</si>
  <si>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</si>
  <si>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</si>
  <si>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</si>
  <si>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</si>
  <si>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</si>
  <si>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</si>
  <si>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</si>
  <si>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</si>
  <si>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</si>
  <si>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</si>
  <si>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</si>
  <si>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</si>
  <si>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</si>
  <si>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</si>
  <si>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</si>
  <si>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</si>
  <si>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</si>
  <si>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</si>
  <si>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</si>
  <si>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</si>
  <si>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</si>
  <si>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</si>
  <si>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</si>
  <si>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</si>
  <si>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</si>
  <si>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</si>
  <si>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</si>
  <si>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</si>
  <si>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</si>
  <si>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</si>
  <si>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</si>
  <si>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</si>
  <si>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</si>
  <si>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</si>
  <si>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</si>
  <si>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</si>
  <si>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</si>
  <si>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</si>
  <si>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</si>
  <si>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</si>
  <si>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</si>
  <si>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</si>
  <si>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</si>
  <si>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</si>
  <si>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</si>
  <si>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</si>
  <si>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</si>
  <si>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</si>
  <si>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</si>
  <si>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</si>
  <si>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</si>
  <si>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</si>
  <si>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</si>
  <si>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</si>
  <si>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</si>
  <si>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</si>
  <si>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</si>
  <si>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</si>
  <si>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</si>
  <si>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</si>
  <si>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</si>
  <si>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</si>
  <si>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</si>
  <si>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</si>
  <si>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</si>
  <si>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</si>
  <si>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</si>
  <si>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</si>
  <si>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</si>
  <si>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</si>
  <si>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</si>
  <si>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</si>
  <si>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</si>
  <si>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</si>
  <si>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</si>
  <si>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</si>
  <si>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</si>
  <si>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</si>
  <si>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</si>
  <si>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</si>
  <si>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</si>
  <si>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</si>
  <si>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</si>
  <si>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</si>
  <si>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</si>
  <si>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</si>
  <si>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</si>
  <si>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</si>
  <si>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</si>
  <si>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</si>
  <si>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</si>
  <si>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</si>
  <si>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</si>
  <si>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</si>
  <si>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</si>
  <si>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</si>
  <si>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</si>
  <si>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</si>
  <si>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</si>
  <si>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</si>
  <si>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</si>
  <si>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</si>
  <si>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</si>
  <si>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</si>
  <si>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</si>
  <si>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</si>
  <si>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</si>
  <si>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</si>
  <si>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</si>
  <si>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</si>
  <si>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</si>
  <si>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</si>
  <si>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</si>
  <si>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</si>
  <si>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</si>
  <si>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</si>
  <si>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</si>
  <si>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</si>
  <si>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</si>
  <si>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</si>
  <si>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</si>
  <si>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</si>
  <si>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</si>
  <si>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</si>
  <si>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</si>
  <si>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</si>
  <si>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</si>
  <si>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</si>
  <si>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</si>
  <si>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</si>
  <si>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</si>
  <si>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</si>
  <si>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</si>
  <si>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</si>
  <si>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</si>
  <si>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</si>
  <si>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</si>
  <si>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</si>
  <si>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</si>
  <si>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</si>
  <si>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</si>
  <si>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</si>
  <si>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</si>
  <si>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</si>
  <si>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</si>
  <si>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</si>
  <si>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</si>
  <si>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</si>
  <si>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</si>
  <si>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</si>
  <si>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</si>
  <si>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</si>
  <si>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</si>
  <si>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</si>
  <si>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</si>
  <si>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</si>
  <si>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</si>
  <si>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</si>
  <si>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</si>
  <si>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</si>
  <si>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</si>
  <si>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</si>
  <si>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</si>
  <si>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</si>
  <si>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</si>
  <si>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</si>
  <si>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</si>
  <si>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</si>
  <si>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</si>
  <si>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</si>
  <si>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</si>
  <si>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</si>
  <si>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</si>
  <si>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</si>
  <si>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</si>
  <si>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</si>
  <si>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</si>
  <si>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</si>
  <si>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</si>
  <si>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</si>
  <si>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</si>
  <si>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</si>
  <si>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</si>
  <si>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</si>
  <si>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</si>
  <si>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</si>
  <si>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</si>
  <si>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</si>
  <si>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</si>
  <si>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</si>
  <si>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</si>
  <si>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</si>
  <si>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</si>
  <si>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</si>
  <si>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</si>
  <si>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</si>
  <si>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</si>
  <si>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</si>
  <si>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</si>
  <si>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</si>
  <si>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</si>
  <si>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</si>
  <si>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</si>
  <si>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</si>
  <si>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</si>
  <si>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</si>
  <si>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</si>
  <si>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</si>
  <si>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</si>
  <si>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</si>
  <si>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</si>
  <si>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</si>
  <si>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</si>
  <si>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</si>
  <si>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</si>
  <si>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</si>
  <si>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</si>
  <si>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</si>
  <si>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</si>
  <si>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</si>
  <si>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</si>
  <si>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</si>
  <si>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</si>
  <si>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</si>
  <si>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</si>
  <si>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</si>
  <si>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</si>
  <si>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</si>
  <si>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</si>
  <si>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</si>
  <si>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</si>
  <si>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</si>
  <si>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</si>
  <si>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</si>
  <si>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</si>
  <si>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</si>
  <si>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</si>
  <si>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</si>
  <si>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</si>
  <si>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</si>
  <si>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</si>
  <si>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</si>
  <si>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</si>
  <si>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</si>
  <si>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</si>
  <si>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</si>
  <si>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</si>
  <si>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</si>
  <si>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</si>
  <si>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</si>
  <si>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</si>
  <si>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</si>
  <si>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</si>
  <si>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</si>
  <si>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</si>
  <si>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</si>
  <si>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</si>
  <si>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</si>
  <si>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</si>
  <si>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</si>
  <si>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</si>
  <si>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</si>
  <si>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</si>
  <si>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</si>
  <si>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</si>
  <si>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</si>
  <si>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</si>
  <si>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</si>
  <si>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</si>
  <si>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</si>
  <si>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</si>
  <si>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</si>
  <si>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</si>
  <si>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</si>
  <si>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</si>
  <si>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</si>
  <si>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</si>
  <si>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</si>
  <si>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</si>
  <si>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</si>
  <si>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</si>
  <si>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</si>
  <si>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</si>
  <si>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</si>
  <si>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</si>
  <si>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</si>
  <si>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</si>
  <si>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</si>
  <si>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</si>
  <si>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</si>
  <si>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</si>
  <si>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</si>
  <si>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</si>
  <si>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</si>
  <si>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</si>
  <si>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</si>
  <si>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</si>
  <si>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</si>
  <si>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</si>
  <si>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</si>
  <si>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</si>
  <si>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</si>
  <si>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</si>
  <si>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</si>
  <si>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</si>
  <si>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</si>
  <si>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</si>
  <si>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</si>
  <si>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</si>
  <si>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</si>
  <si>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</si>
  <si>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</si>
  <si>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</si>
  <si>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</si>
  <si>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</si>
  <si>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</si>
  <si>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</si>
  <si>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</si>
  <si>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</si>
  <si>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</si>
  <si>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</si>
  <si>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</si>
  <si>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</si>
  <si>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</si>
  <si>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</si>
  <si>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</si>
  <si>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</si>
  <si>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</si>
  <si>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</si>
  <si>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</si>
  <si>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</si>
  <si>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</si>
  <si>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</si>
  <si>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</si>
  <si>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</si>
  <si>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</si>
  <si>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</si>
  <si>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</si>
  <si>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</si>
  <si>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</si>
  <si>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</si>
  <si>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</si>
  <si>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</si>
  <si>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</si>
  <si>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</si>
  <si>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</si>
  <si>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</si>
  <si>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</si>
  <si>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</si>
  <si>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</si>
  <si>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</si>
  <si>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</si>
  <si>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</si>
  <si>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</si>
  <si>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</si>
  <si>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</si>
  <si>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</si>
  <si>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</si>
  <si>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</si>
  <si>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</si>
  <si>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</si>
  <si>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</si>
  <si>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</si>
  <si>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</si>
  <si>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</si>
  <si>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</si>
  <si>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</si>
  <si>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</si>
  <si>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</si>
  <si>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</si>
  <si>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</si>
  <si>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</si>
  <si>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</si>
  <si>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</si>
  <si>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</si>
  <si>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</si>
  <si>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</si>
  <si>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</si>
  <si>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</si>
  <si>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</si>
  <si>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</si>
  <si>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</si>
  <si>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</si>
  <si>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</si>
  <si>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</si>
  <si>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</si>
  <si>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</si>
  <si>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</si>
  <si>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</si>
  <si>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</si>
  <si>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</si>
  <si>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</si>
  <si>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</si>
  <si>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</si>
  <si>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</si>
  <si>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</si>
  <si>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</si>
  <si>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</si>
  <si>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</si>
  <si>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</si>
  <si>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</si>
  <si>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</si>
  <si>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</si>
  <si>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</si>
  <si>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</si>
  <si>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</si>
  <si>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</si>
  <si>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</si>
  <si>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</si>
  <si>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</si>
  <si>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</si>
  <si>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</si>
  <si>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</si>
  <si>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</si>
  <si>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</si>
  <si>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</si>
  <si>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</si>
  <si>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</si>
  <si>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</si>
  <si>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</si>
  <si>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</si>
  <si>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</si>
  <si>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</si>
  <si>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</si>
  <si>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</si>
  <si>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</si>
  <si>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</si>
  <si>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</si>
  <si>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</si>
  <si>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</si>
  <si>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</si>
  <si>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</si>
  <si>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</si>
  <si>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</si>
  <si>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</si>
  <si>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</si>
  <si>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</si>
  <si>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</si>
  <si>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</si>
  <si>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</si>
  <si>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</si>
  <si>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</si>
  <si>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</si>
  <si>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</si>
  <si>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</si>
  <si>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</si>
  <si>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</si>
  <si>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</si>
  <si>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</si>
  <si>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</si>
  <si>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</si>
  <si>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</si>
  <si>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</si>
  <si>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</si>
  <si>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</si>
  <si>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</si>
  <si>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</si>
  <si>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</si>
  <si>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</si>
  <si>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</si>
  <si>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</si>
  <si>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</si>
  <si>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</si>
  <si>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</si>
  <si>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</si>
  <si>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</si>
  <si>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</si>
  <si>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</si>
  <si>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</si>
  <si>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</si>
  <si>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</si>
  <si>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</si>
  <si>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</si>
  <si>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</si>
  <si>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</si>
  <si>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</si>
  <si>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</si>
  <si>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</si>
  <si>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</si>
  <si>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</si>
  <si>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</si>
  <si>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</si>
  <si>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</si>
  <si>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</si>
  <si>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</si>
  <si>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</si>
  <si>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</si>
  <si>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</si>
  <si>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</si>
  <si>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</si>
  <si>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</si>
  <si>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</si>
  <si>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</si>
  <si>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</si>
  <si>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</si>
  <si>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</si>
  <si>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</si>
  <si>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</si>
  <si>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</si>
  <si>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</si>
  <si>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</si>
  <si>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</si>
  <si>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</si>
  <si>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</si>
  <si>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</si>
  <si>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</si>
  <si>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</si>
  <si>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</si>
  <si>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</si>
  <si>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</si>
  <si>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</si>
  <si>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</si>
  <si>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</si>
  <si>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</si>
  <si>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</si>
  <si>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</si>
  <si>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</si>
  <si>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</si>
  <si>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</si>
  <si>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</si>
  <si>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</si>
  <si>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</si>
  <si>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</si>
  <si>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</si>
  <si>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</si>
  <si>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</si>
  <si>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</si>
  <si>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</si>
  <si>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</si>
  <si>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</si>
  <si>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</si>
  <si>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</si>
  <si>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</si>
  <si>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</si>
  <si>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</si>
  <si>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</si>
  <si>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</si>
  <si>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</si>
  <si>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</si>
  <si>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</si>
  <si>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</si>
  <si>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</si>
  <si>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</si>
  <si>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</si>
  <si>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</si>
  <si>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</si>
  <si>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</si>
  <si>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</si>
  <si>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</si>
  <si>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</si>
  <si>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</si>
  <si>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</si>
  <si>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</si>
  <si>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</si>
  <si>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</si>
  <si>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</si>
  <si>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</si>
  <si>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</si>
  <si>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</si>
  <si>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</si>
  <si>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</si>
  <si>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</si>
  <si>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</si>
  <si>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</si>
  <si>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</si>
  <si>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</si>
  <si>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</si>
  <si>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</si>
  <si>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</si>
  <si>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</si>
  <si>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</si>
  <si>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</si>
  <si>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</si>
  <si>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</si>
  <si>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</si>
  <si>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</si>
  <si>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</si>
  <si>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</si>
  <si>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</si>
  <si>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</si>
  <si>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</si>
  <si>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</si>
  <si>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</si>
  <si>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</si>
  <si>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</si>
  <si>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</si>
  <si>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</si>
  <si>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</si>
  <si>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</si>
  <si>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</si>
  <si>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</si>
  <si>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</si>
  <si>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</si>
  <si>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</si>
  <si>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</si>
  <si>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</si>
  <si>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</si>
  <si>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</si>
  <si>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</si>
  <si>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</si>
  <si>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</si>
  <si>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</si>
  <si>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</si>
  <si>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</si>
  <si>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</si>
  <si>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</si>
  <si>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</si>
  <si>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</si>
  <si>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</si>
  <si>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</si>
  <si>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</si>
  <si>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</si>
  <si>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</si>
  <si>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</si>
  <si>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</si>
  <si>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</si>
  <si>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</si>
  <si>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</si>
  <si>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</si>
  <si>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</si>
  <si>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</si>
  <si>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</si>
  <si>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</si>
  <si>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</si>
  <si>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</si>
  <si>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</si>
  <si>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</si>
  <si>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</si>
  <si>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</si>
  <si>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</si>
  <si>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</si>
  <si>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</si>
  <si>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</si>
  <si>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</si>
  <si>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</si>
  <si>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</si>
  <si>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</si>
  <si>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</si>
  <si>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</si>
  <si>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</si>
  <si>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</si>
  <si>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</si>
  <si>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</si>
  <si>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</si>
  <si>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</si>
  <si>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</si>
  <si>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</si>
  <si>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</si>
  <si>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</si>
  <si>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</si>
  <si>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</si>
  <si>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</si>
  <si>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</si>
  <si>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</si>
  <si>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</si>
  <si>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</si>
  <si>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</si>
  <si>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</si>
  <si>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</si>
  <si>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</si>
  <si>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</si>
  <si>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</si>
  <si>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</si>
  <si>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</si>
  <si>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</si>
  <si>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</si>
  <si>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</si>
  <si>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</si>
  <si>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</si>
  <si>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</si>
  <si>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</si>
  <si>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</si>
  <si>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</si>
  <si>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</si>
  <si>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</si>
  <si>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</si>
  <si>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</si>
  <si>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</si>
  <si>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</si>
  <si>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</si>
  <si>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</si>
  <si>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</si>
  <si>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</si>
  <si>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</si>
  <si>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</si>
  <si>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</si>
  <si>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</si>
  <si>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</si>
  <si>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</si>
  <si>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</si>
  <si>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</si>
  <si>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</si>
  <si>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</si>
  <si>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</si>
  <si>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</si>
  <si>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</si>
  <si>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</si>
  <si>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</si>
  <si>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</si>
  <si>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</si>
  <si>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</si>
  <si>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</si>
  <si>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</si>
  <si>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</si>
  <si>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</si>
  <si>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</si>
  <si>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</si>
  <si>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</si>
  <si>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</si>
  <si>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</si>
  <si>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</si>
  <si>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</si>
  <si>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</si>
  <si>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</si>
  <si>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</si>
  <si>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</si>
  <si>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</si>
  <si>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</si>
  <si>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</si>
  <si>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</si>
  <si>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</si>
  <si>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</si>
  <si>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</si>
  <si>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</si>
  <si>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</si>
  <si>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</si>
  <si>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</si>
  <si>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</si>
  <si>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</si>
  <si>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</si>
  <si>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</si>
  <si>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</si>
  <si>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</si>
  <si>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</si>
  <si>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</si>
  <si>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</si>
  <si>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</si>
  <si>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</si>
  <si>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</si>
  <si>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</si>
  <si>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</si>
  <si>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</si>
  <si>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</si>
  <si>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</si>
  <si>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</si>
  <si>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</si>
  <si>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</si>
  <si>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</si>
  <si>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</si>
  <si>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</si>
  <si>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</si>
  <si>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</si>
  <si>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</si>
  <si>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</si>
  <si>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</si>
  <si>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</si>
  <si>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</si>
  <si>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</si>
  <si>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</si>
  <si>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</si>
  <si>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</si>
  <si>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</si>
  <si>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</si>
  <si>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</si>
  <si>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</si>
  <si>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</si>
  <si>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</si>
  <si>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</si>
  <si>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</si>
  <si>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</si>
  <si>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</si>
  <si>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</si>
  <si>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</si>
  <si>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</si>
  <si>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</si>
  <si>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</si>
  <si>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</si>
  <si>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</si>
  <si>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</si>
  <si>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</si>
  <si>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</si>
  <si>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</si>
  <si>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</si>
  <si>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</si>
  <si>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</si>
  <si>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</si>
  <si>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</si>
  <si>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</si>
  <si>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</si>
  <si>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</si>
  <si>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</si>
  <si>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</si>
  <si>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</si>
  <si>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</si>
  <si>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</si>
  <si>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</si>
  <si>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</si>
  <si>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</si>
  <si>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</si>
  <si>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</si>
  <si>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</si>
  <si>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</si>
  <si>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</si>
  <si>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</si>
  <si>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</si>
  <si>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</si>
  <si>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</si>
  <si>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</si>
  <si>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</si>
  <si>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</si>
  <si>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</si>
  <si>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</si>
  <si>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</si>
  <si>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</si>
  <si>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</si>
  <si>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</si>
  <si>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</si>
  <si>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</si>
  <si>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</si>
  <si>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</si>
  <si>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</si>
  <si>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</si>
  <si>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</si>
  <si>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</si>
  <si>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</si>
  <si>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</si>
  <si>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</si>
  <si>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</si>
  <si>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</si>
  <si>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</si>
  <si>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</si>
  <si>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</si>
  <si>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</si>
  <si>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</si>
  <si>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</si>
  <si>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</si>
  <si>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</si>
  <si>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</si>
  <si>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</si>
  <si>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</si>
  <si>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</si>
  <si>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</si>
  <si>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</si>
  <si>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</si>
  <si>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</si>
  <si>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</si>
  <si>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</si>
  <si>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</si>
  <si>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</si>
  <si>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</si>
  <si>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</si>
  <si>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</si>
  <si>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</si>
  <si>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</si>
  <si>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</si>
  <si>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</si>
  <si>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</si>
  <si>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</si>
  <si>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</si>
  <si>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</si>
  <si>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</si>
  <si>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</si>
  <si>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</si>
  <si>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</si>
  <si>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</si>
  <si>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</si>
  <si>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</si>
  <si>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</si>
  <si>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</si>
  <si>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</si>
  <si>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</si>
  <si>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</si>
  <si>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</si>
  <si>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</si>
  <si>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</si>
  <si>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</si>
  <si>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</si>
  <si>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</si>
  <si>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</si>
  <si>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</si>
  <si>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</si>
  <si>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</si>
  <si>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</si>
  <si>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</si>
  <si>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</si>
  <si>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</si>
  <si>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</si>
  <si>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</si>
  <si>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</si>
  <si>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</si>
  <si>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</si>
  <si>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</si>
  <si>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</si>
  <si>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</si>
  <si>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</si>
  <si>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</si>
  <si>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</si>
  <si>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</si>
  <si>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</si>
  <si>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</si>
  <si>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</si>
  <si>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</si>
  <si>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</si>
  <si>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</si>
  <si>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</si>
  <si>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</si>
  <si>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</si>
  <si>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</si>
  <si>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</si>
  <si>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</si>
  <si>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</si>
  <si>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</si>
  <si>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</si>
  <si>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</si>
  <si>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</si>
  <si>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</si>
  <si>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</si>
  <si>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</si>
  <si>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</si>
  <si>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</si>
  <si>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</si>
  <si>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</si>
  <si>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</si>
  <si>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</si>
  <si>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</si>
  <si>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</si>
  <si>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</si>
  <si>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</si>
  <si>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</si>
  <si>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</si>
  <si>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</si>
  <si>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</si>
  <si>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</si>
  <si>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</si>
  <si>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</si>
  <si>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</si>
  <si>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</si>
  <si>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</si>
  <si>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</si>
  <si>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</si>
  <si>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</si>
  <si>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</si>
  <si>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</si>
  <si>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</si>
  <si>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</si>
  <si>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</si>
  <si>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</si>
  <si>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</si>
  <si>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</si>
  <si>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</si>
  <si>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</si>
  <si>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</si>
  <si>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</si>
  <si>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</si>
  <si>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</si>
  <si>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</si>
  <si>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</si>
  <si>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</si>
  <si>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</si>
  <si>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</si>
  <si>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</si>
  <si>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</si>
  <si>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</si>
  <si>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</si>
  <si>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</si>
  <si>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</si>
  <si>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</si>
  <si>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</si>
  <si>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</si>
  <si>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</si>
  <si>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</si>
  <si>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</si>
  <si>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</si>
  <si>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</si>
  <si>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</si>
  <si>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</si>
  <si>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</si>
  <si>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</si>
  <si>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</si>
  <si>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</si>
  <si>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</si>
  <si>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</si>
  <si>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</si>
  <si>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</si>
  <si>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</si>
  <si>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</si>
  <si>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</si>
  <si>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</si>
  <si>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</si>
  <si>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</si>
  <si>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</si>
  <si>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</si>
  <si>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</si>
  <si>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</si>
  <si>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</si>
  <si>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</si>
  <si>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</si>
  <si>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</si>
  <si>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</si>
  <si>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</si>
  <si>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</si>
  <si>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</si>
  <si>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</si>
  <si>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</si>
  <si>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</si>
  <si>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</si>
  <si>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</si>
  <si>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</si>
  <si>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</si>
  <si>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</si>
  <si>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</si>
  <si>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</si>
  <si>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</si>
  <si>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</si>
  <si>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</si>
  <si>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</si>
  <si>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</si>
  <si>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</si>
  <si>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</si>
  <si>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</si>
  <si>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</si>
  <si>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</si>
  <si>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</si>
  <si>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</si>
  <si>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</si>
  <si>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</si>
  <si>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</si>
  <si>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</si>
  <si>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</si>
  <si>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</si>
  <si>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</si>
  <si>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</si>
  <si>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</si>
  <si>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</si>
  <si>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</si>
  <si>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</si>
  <si>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</si>
  <si>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</si>
  <si>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</si>
  <si>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</si>
  <si>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</si>
  <si>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</si>
  <si>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</si>
  <si>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</si>
  <si>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</si>
  <si>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</si>
  <si>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</si>
  <si>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</si>
  <si>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</si>
  <si>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</si>
  <si>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</si>
  <si>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</si>
  <si>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</si>
  <si>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</si>
  <si>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</si>
  <si>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</si>
  <si>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</si>
  <si>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</si>
  <si>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</si>
  <si>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</si>
  <si>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</si>
  <si>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</si>
  <si>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</si>
  <si>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</si>
  <si>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</si>
  <si>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</si>
  <si>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</si>
  <si>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</si>
  <si>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</si>
  <si>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</si>
  <si>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</si>
  <si>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</si>
  <si>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</si>
  <si>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</si>
  <si>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</si>
  <si>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</si>
  <si>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</si>
  <si>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</si>
  <si>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</si>
  <si>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</si>
  <si>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</si>
  <si>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</si>
  <si>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</si>
  <si>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</si>
  <si>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</si>
  <si>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</si>
  <si>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</si>
  <si>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</si>
  <si>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</si>
  <si>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</si>
  <si>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</si>
  <si>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</si>
  <si>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</si>
  <si>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</si>
  <si>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</si>
  <si>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</si>
  <si>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</si>
  <si>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</si>
  <si>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</si>
  <si>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</si>
  <si>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</si>
  <si>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</si>
  <si>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</si>
  <si>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</si>
  <si>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</si>
  <si>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</si>
  <si>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</si>
  <si>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</si>
  <si>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</si>
  <si>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</si>
  <si>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</si>
  <si>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</si>
  <si>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</si>
  <si>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</si>
  <si>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</si>
  <si>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</si>
  <si>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</si>
  <si>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</si>
  <si>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</si>
  <si>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</si>
  <si>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</si>
  <si>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</si>
  <si>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</si>
  <si>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</si>
  <si>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</si>
  <si>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</si>
  <si>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</si>
  <si>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</si>
  <si>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</si>
  <si>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</si>
  <si>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</si>
  <si>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</si>
  <si>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</si>
  <si>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</si>
  <si>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</si>
  <si>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</si>
  <si>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</si>
  <si>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</si>
  <si>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</si>
  <si>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</si>
  <si>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</si>
  <si>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</si>
  <si>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</si>
  <si>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</si>
  <si>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</si>
  <si>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</si>
  <si>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</si>
  <si>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</si>
  <si>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</si>
  <si>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</si>
  <si>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</si>
  <si>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</si>
  <si>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</si>
  <si>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</si>
  <si>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</si>
  <si>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</si>
  <si>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</si>
  <si>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</si>
  <si>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</si>
  <si>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</si>
  <si>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</si>
  <si>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</si>
  <si>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</si>
  <si>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</si>
  <si>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</si>
  <si>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</si>
  <si>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</si>
  <si>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</si>
  <si>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</si>
  <si>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</si>
  <si>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</si>
  <si>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</si>
  <si>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</si>
  <si>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</si>
  <si>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</si>
  <si>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</si>
  <si>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</si>
  <si>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</si>
  <si>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</si>
  <si>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</si>
  <si>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</si>
  <si>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</si>
  <si>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</si>
  <si>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</si>
  <si>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</si>
  <si>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</si>
  <si>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</si>
  <si>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</si>
  <si>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</si>
  <si>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</si>
  <si>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</si>
  <si>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</si>
  <si>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</si>
  <si>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</si>
  <si>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</si>
  <si>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</si>
  <si>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</si>
  <si>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</si>
  <si>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</si>
  <si>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</si>
  <si>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</si>
  <si>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</si>
  <si>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</si>
  <si>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</si>
  <si>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</si>
  <si>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</si>
  <si>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</si>
  <si>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</si>
  <si>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</si>
  <si>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</si>
  <si>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</si>
  <si>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</si>
  <si>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</si>
  <si>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</si>
  <si>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</si>
  <si>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</si>
  <si>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</si>
  <si>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</si>
  <si>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</si>
  <si>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</si>
  <si>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</si>
  <si>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</si>
  <si>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</si>
  <si>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</si>
  <si>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</si>
  <si>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</si>
  <si>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</si>
  <si>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</si>
  <si>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</si>
  <si>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</si>
  <si>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</si>
  <si>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</si>
  <si>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</si>
  <si>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</si>
  <si>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</si>
  <si>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</si>
  <si>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</si>
  <si>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</si>
  <si>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</si>
  <si>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</si>
  <si>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</si>
  <si>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</si>
  <si>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</si>
  <si>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</si>
  <si>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</si>
  <si>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</si>
  <si>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</si>
  <si>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</si>
  <si>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</si>
  <si>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</si>
  <si>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</si>
  <si>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</si>
  <si>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</si>
  <si>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</si>
  <si>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</si>
  <si>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</si>
  <si>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</si>
  <si>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</si>
  <si>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</si>
  <si>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</si>
  <si>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</si>
  <si>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</si>
  <si>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</si>
  <si>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</si>
  <si>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</si>
  <si>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</si>
  <si>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</si>
  <si>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</si>
  <si>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</si>
  <si>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</si>
  <si>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</si>
  <si>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</si>
  <si>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</si>
  <si>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</si>
  <si>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</si>
  <si>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</si>
  <si>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</si>
  <si>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</si>
  <si>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</si>
  <si>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</si>
  <si>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</si>
  <si>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</si>
  <si>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</si>
  <si>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</si>
  <si>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</si>
  <si>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</si>
  <si>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</si>
  <si>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</si>
  <si>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</si>
  <si>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</si>
  <si>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</si>
  <si>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</si>
  <si>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</si>
  <si>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</si>
  <si>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</si>
  <si>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</si>
  <si>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</si>
  <si>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</si>
  <si>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</si>
  <si>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</si>
  <si>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</si>
  <si>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</si>
  <si>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</si>
  <si>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</si>
  <si>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</si>
  <si>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</si>
  <si>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</si>
  <si>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</si>
  <si>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</si>
  <si>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</si>
  <si>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</si>
  <si>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</si>
  <si>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</si>
  <si>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</si>
  <si>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</si>
  <si>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</si>
  <si>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</si>
  <si>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</si>
  <si>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</si>
  <si>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</si>
  <si>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</si>
  <si>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</si>
  <si>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</si>
  <si>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</si>
  <si>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</si>
  <si>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</si>
  <si>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</si>
  <si>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</si>
  <si>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</si>
  <si>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</si>
  <si>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</si>
  <si>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</si>
  <si>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</si>
  <si>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</si>
  <si>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</si>
  <si>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</si>
  <si>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</si>
  <si>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</si>
  <si>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</si>
  <si>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</si>
  <si>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</si>
  <si>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</si>
  <si>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</si>
  <si>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</si>
  <si>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</si>
  <si>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</si>
  <si>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</si>
  <si>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</si>
  <si>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</si>
  <si>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</si>
  <si>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</si>
  <si>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</si>
  <si>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</si>
  <si>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</si>
  <si>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</si>
  <si>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</si>
  <si>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</si>
  <si>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</si>
  <si>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</si>
  <si>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</si>
  <si>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</si>
  <si>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</si>
  <si>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</si>
  <si>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</si>
  <si>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</si>
  <si>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</si>
  <si>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</si>
  <si>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</si>
  <si>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</si>
  <si>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</si>
  <si>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</si>
  <si>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</si>
  <si>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</si>
  <si>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</si>
  <si>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</si>
  <si>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</si>
  <si>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</si>
  <si>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</si>
  <si>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</si>
  <si>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</si>
  <si>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</si>
  <si>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</si>
  <si>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</si>
  <si>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</si>
  <si>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</si>
  <si>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</si>
  <si>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</si>
  <si>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</si>
  <si>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</si>
  <si>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</si>
  <si>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</si>
  <si>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</si>
  <si>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</si>
  <si>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</si>
  <si>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</si>
  <si>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</si>
  <si>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</si>
  <si>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</si>
  <si>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</si>
  <si>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</si>
  <si>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</si>
  <si>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</si>
  <si>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</si>
  <si>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</si>
  <si>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</si>
  <si>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</si>
  <si>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</si>
  <si>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</si>
  <si>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</si>
  <si>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</si>
  <si>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</si>
  <si>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</si>
  <si>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</si>
  <si>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</si>
  <si>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</si>
  <si>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</si>
  <si>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</si>
  <si>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</si>
  <si>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</si>
  <si>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</si>
  <si>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</si>
  <si>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</si>
  <si>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</si>
  <si>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</si>
  <si>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</si>
  <si>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</si>
  <si>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</si>
  <si>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</si>
  <si>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</si>
  <si>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</si>
  <si>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</si>
  <si>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</si>
  <si>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</si>
  <si>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</si>
  <si>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</si>
  <si>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</si>
  <si>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</si>
  <si>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</si>
  <si>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</si>
  <si>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</si>
  <si>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</si>
  <si>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</si>
  <si>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</si>
  <si>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</si>
  <si>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</si>
  <si>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</si>
  <si>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</si>
  <si>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</si>
  <si>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</si>
  <si>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</si>
  <si>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</si>
  <si>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</si>
  <si>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</si>
  <si>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</si>
  <si>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</si>
  <si>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</si>
  <si>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</si>
  <si>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</si>
  <si>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</si>
  <si>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</si>
  <si>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</si>
  <si>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</si>
  <si>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</si>
  <si>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</si>
  <si>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</si>
  <si>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</si>
  <si>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</si>
  <si>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</si>
  <si>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</si>
  <si>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</si>
  <si>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</si>
  <si>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</si>
  <si>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</si>
  <si>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</si>
  <si>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</si>
  <si>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</si>
  <si>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</si>
  <si>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</si>
  <si>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</si>
  <si>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</si>
  <si>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</si>
  <si>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</si>
  <si>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</si>
  <si>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</si>
  <si>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</si>
  <si>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</si>
  <si>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</si>
  <si>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</si>
  <si>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</si>
  <si>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</si>
  <si>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</si>
  <si>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</si>
  <si>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</si>
  <si>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</si>
  <si>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</si>
  <si>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</si>
  <si>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</si>
  <si>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</si>
  <si>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</si>
  <si>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</si>
  <si>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</si>
  <si>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</si>
  <si>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</si>
  <si>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</si>
  <si>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</si>
  <si>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</si>
  <si>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</si>
  <si>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</si>
  <si>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</si>
  <si>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</si>
  <si>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</si>
  <si>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</si>
  <si>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</si>
  <si>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</si>
  <si>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</si>
  <si>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</si>
  <si>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</si>
  <si>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</si>
  <si>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</si>
  <si>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</si>
  <si>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</si>
  <si>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</si>
  <si>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</si>
  <si>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</si>
  <si>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</si>
  <si>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</si>
  <si>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</si>
  <si>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</si>
  <si>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</si>
  <si>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</si>
  <si>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</si>
  <si>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</si>
  <si>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</si>
  <si>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</si>
  <si>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</si>
  <si>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</si>
  <si>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</si>
  <si>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</si>
  <si>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</si>
  <si>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</si>
  <si>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</si>
  <si>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</si>
  <si>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</si>
  <si>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</si>
  <si>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</si>
  <si>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</si>
  <si>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</si>
  <si>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</si>
  <si>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</si>
  <si>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</si>
  <si>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</si>
  <si>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</si>
  <si>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</si>
  <si>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</si>
  <si>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</si>
  <si>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</si>
  <si>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</si>
  <si>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</si>
  <si>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</si>
  <si>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</si>
  <si>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</si>
  <si>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</si>
  <si>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</si>
  <si>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</si>
  <si>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</si>
  <si>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</si>
  <si>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</si>
  <si>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</si>
  <si>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</si>
  <si>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</si>
  <si>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</si>
  <si>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</si>
  <si>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</si>
  <si>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</si>
  <si>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</si>
  <si>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</si>
  <si>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</si>
  <si>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</si>
  <si>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</si>
  <si>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</si>
  <si>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</si>
  <si>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</si>
  <si>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</si>
  <si>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</si>
  <si>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</si>
  <si>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</si>
  <si>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</si>
  <si>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</si>
  <si>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</si>
  <si>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</si>
  <si>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</si>
  <si>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</si>
  <si>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</si>
  <si>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</si>
  <si>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</si>
  <si>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</si>
  <si>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</si>
  <si>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</si>
  <si>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</si>
  <si>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</si>
  <si>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</si>
  <si>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</si>
  <si>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</si>
  <si>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</si>
  <si>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</si>
  <si>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</si>
  <si>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</si>
  <si>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</si>
  <si>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</si>
  <si>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</si>
  <si>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</si>
  <si>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</si>
  <si>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</si>
  <si>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</si>
  <si>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</si>
  <si>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</si>
  <si>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</si>
  <si>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</si>
  <si>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</si>
  <si>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</si>
  <si>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</si>
  <si>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</si>
  <si>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</si>
  <si>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</si>
  <si>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</si>
  <si>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</si>
  <si>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</si>
  <si>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</si>
  <si>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</si>
  <si>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</si>
  <si>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</si>
  <si>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</si>
  <si>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</si>
  <si>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</si>
  <si>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</si>
  <si>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</si>
  <si>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</si>
  <si>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</si>
  <si>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</si>
  <si>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</si>
  <si>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</si>
  <si>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</si>
  <si>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</si>
  <si>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</si>
  <si>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</si>
  <si>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</si>
  <si>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</si>
  <si>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</si>
  <si>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</si>
  <si>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</si>
  <si>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</si>
  <si>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</si>
  <si>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</si>
  <si>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</si>
  <si>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</si>
  <si>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</si>
  <si>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</si>
  <si>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</si>
  <si>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</si>
  <si>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</si>
  <si>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</si>
  <si>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</si>
  <si>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</si>
  <si>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</si>
  <si>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</si>
  <si>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</si>
  <si>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</si>
  <si>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</si>
  <si>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</si>
  <si>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</si>
  <si>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</si>
  <si>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</si>
  <si>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</si>
  <si>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</si>
  <si>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</si>
  <si>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</si>
  <si>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</si>
  <si>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</si>
  <si>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</si>
  <si>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</si>
  <si>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</si>
  <si>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</si>
  <si>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</si>
  <si>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</si>
  <si>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</si>
  <si>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</si>
  <si>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</si>
  <si>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</si>
  <si>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</si>
  <si>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</si>
  <si>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</si>
  <si>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</si>
  <si>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</si>
  <si>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</si>
  <si>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</si>
  <si>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</si>
  <si>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</si>
  <si>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</si>
  <si>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</si>
  <si>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</si>
  <si>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</si>
  <si>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</si>
  <si>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</si>
  <si>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</si>
  <si>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</si>
  <si>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</si>
  <si>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</si>
  <si>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</si>
  <si>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</si>
  <si>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</si>
  <si>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</si>
  <si>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</si>
  <si>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</si>
  <si>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</si>
  <si>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</si>
  <si>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</si>
  <si>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</si>
  <si>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</si>
  <si>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</si>
  <si>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</si>
  <si>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</si>
  <si>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</si>
  <si>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</si>
  <si>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</si>
  <si>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</si>
  <si>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</si>
  <si>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</si>
  <si>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</si>
  <si>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</si>
  <si>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</si>
  <si>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</si>
  <si>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</si>
  <si>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</si>
  <si>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</si>
  <si>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</si>
  <si>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</si>
  <si>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</si>
  <si>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</si>
  <si>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</si>
  <si>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</si>
  <si>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</si>
  <si>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</si>
  <si>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</si>
  <si>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</si>
  <si>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</si>
  <si>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</si>
  <si>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</si>
  <si>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</si>
  <si>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</si>
  <si>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</si>
  <si>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</si>
  <si>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</si>
  <si>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</si>
  <si>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</si>
  <si>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</si>
  <si>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</si>
  <si>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</si>
  <si>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</si>
  <si>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</si>
  <si>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</si>
  <si>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</si>
  <si>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</si>
  <si>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</si>
  <si>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</si>
  <si>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</si>
  <si>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</si>
  <si>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</si>
  <si>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</si>
  <si>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</si>
  <si>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</si>
  <si>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</si>
  <si>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</si>
  <si>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</si>
  <si>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</si>
  <si>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</si>
  <si>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</si>
  <si>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</si>
  <si>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</si>
  <si>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</si>
  <si>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</si>
  <si>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</si>
  <si>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</si>
  <si>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</si>
  <si>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</si>
  <si>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</si>
  <si>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</si>
  <si>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</si>
  <si>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</si>
  <si>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</si>
  <si>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</si>
  <si>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</si>
  <si>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</si>
  <si>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</si>
  <si>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</si>
  <si>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</si>
  <si>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</si>
  <si>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</si>
  <si>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</si>
  <si>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</si>
  <si>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</si>
  <si>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</si>
  <si>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</si>
  <si>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</si>
  <si>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</si>
  <si>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</si>
  <si>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</si>
  <si>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</si>
  <si>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</si>
  <si>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</si>
  <si>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</si>
  <si>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</si>
  <si>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</si>
  <si>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</si>
  <si>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</si>
  <si>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</si>
  <si>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</si>
  <si>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</si>
  <si>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</si>
  <si>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</si>
  <si>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</si>
  <si>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</si>
  <si>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</si>
  <si>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</si>
  <si>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</si>
  <si>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</si>
  <si>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</si>
  <si>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</si>
  <si>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</si>
  <si>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</si>
  <si>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</si>
  <si>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</si>
  <si>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</si>
  <si>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</si>
  <si>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</si>
  <si>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</si>
  <si>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</si>
  <si>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</si>
  <si>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</si>
  <si>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</si>
  <si>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</si>
  <si>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</si>
  <si>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</si>
  <si>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</si>
  <si>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</si>
  <si>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</si>
  <si>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</si>
  <si>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</si>
  <si>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</si>
  <si>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</si>
  <si>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</si>
  <si>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</si>
  <si>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</si>
  <si>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</si>
  <si>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</si>
  <si>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</si>
  <si>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</si>
  <si>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</si>
  <si>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</si>
  <si>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</si>
  <si>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</si>
  <si>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</si>
  <si>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</si>
  <si>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</si>
  <si>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</si>
  <si>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</si>
  <si>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</si>
  <si>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</si>
  <si>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</si>
  <si>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</si>
  <si>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</si>
  <si>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</si>
  <si>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</si>
  <si>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</si>
  <si>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</si>
  <si>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</si>
  <si>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</si>
  <si>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</si>
  <si>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</si>
  <si>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</si>
  <si>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</si>
  <si>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</si>
  <si>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</si>
  <si>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</si>
  <si>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</si>
  <si>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</si>
  <si>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</si>
  <si>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</si>
  <si>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</si>
  <si>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</si>
  <si>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</si>
  <si>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</si>
  <si>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</si>
  <si>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</si>
  <si>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</si>
  <si>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</si>
  <si>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</si>
  <si>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</si>
  <si>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</si>
  <si>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</si>
  <si>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</si>
  <si>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</si>
  <si>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</si>
  <si>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</si>
  <si>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</si>
  <si>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</si>
  <si>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</si>
  <si>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</si>
  <si>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</si>
  <si>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</si>
  <si>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</si>
  <si>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</si>
  <si>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</si>
  <si>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</si>
  <si>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</si>
  <si>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</si>
  <si>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</si>
  <si>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</si>
  <si>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</si>
  <si>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</si>
  <si>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</si>
  <si>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</si>
  <si>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</si>
  <si>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</si>
  <si>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</si>
  <si>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</si>
  <si>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</si>
  <si>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</si>
  <si>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</si>
  <si>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</si>
  <si>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</si>
  <si>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</si>
  <si>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</si>
  <si>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</si>
  <si>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</si>
  <si>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</si>
  <si>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</si>
  <si>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</si>
  <si>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</si>
  <si>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</si>
  <si>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</si>
  <si>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</si>
  <si>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</si>
  <si>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</si>
  <si>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</si>
  <si>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</si>
  <si>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</si>
  <si>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</si>
  <si>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</si>
  <si>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</si>
  <si>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</si>
  <si>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</si>
  <si>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</si>
  <si>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</si>
  <si>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</si>
  <si>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</si>
  <si>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</si>
  <si>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</si>
  <si>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</si>
  <si>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</si>
  <si>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</si>
  <si>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</si>
  <si>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</si>
  <si>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</si>
  <si>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</si>
  <si>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</si>
  <si>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</si>
  <si>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</si>
  <si>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</si>
  <si>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</si>
  <si>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</si>
  <si>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</si>
  <si>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</si>
  <si>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</si>
  <si>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</si>
  <si>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</si>
  <si>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</si>
  <si>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</si>
  <si>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</si>
  <si>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</si>
  <si>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</si>
  <si>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</si>
  <si>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</si>
  <si>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</si>
  <si>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</si>
  <si>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</si>
  <si>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</si>
  <si>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</si>
  <si>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</si>
  <si>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</si>
  <si>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</si>
  <si>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</si>
  <si>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</si>
  <si>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</si>
  <si>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</si>
  <si>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</si>
  <si>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</si>
  <si>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</si>
  <si>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</si>
  <si>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</si>
  <si>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</si>
  <si>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</si>
  <si>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</si>
  <si>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</si>
  <si>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</si>
  <si>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</si>
  <si>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</si>
  <si>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</si>
  <si>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</si>
  <si>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</si>
  <si>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</si>
  <si>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</si>
  <si>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</si>
  <si>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</si>
  <si>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</si>
  <si>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</si>
  <si>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</si>
  <si>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</si>
  <si>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</si>
  <si>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</si>
  <si>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</si>
  <si>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</si>
  <si>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</si>
  <si>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</si>
  <si>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</si>
  <si>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</si>
  <si>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</si>
  <si>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</si>
  <si>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</si>
  <si>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</si>
  <si>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</si>
  <si>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</si>
  <si>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</si>
  <si>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</si>
  <si>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</si>
  <si>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</si>
  <si>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</si>
  <si>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</si>
  <si>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</si>
  <si>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</si>
  <si>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</si>
  <si>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</si>
  <si>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</si>
  <si>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</si>
  <si>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</si>
  <si>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</si>
  <si>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</si>
  <si>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</si>
  <si>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</si>
  <si>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</si>
  <si>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</si>
  <si>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</si>
  <si>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</si>
  <si>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</si>
  <si>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</si>
  <si>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</si>
  <si>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</si>
  <si>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</si>
  <si>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</si>
  <si>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</si>
  <si>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</si>
  <si>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</si>
  <si>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</si>
  <si>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</si>
  <si>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</si>
  <si>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</si>
  <si>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</si>
  <si>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</si>
  <si>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</si>
  <si>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</si>
  <si>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</si>
  <si>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</si>
  <si>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</si>
  <si>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</si>
  <si>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</si>
  <si>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</si>
  <si>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</si>
  <si>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</si>
  <si>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</si>
  <si>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</si>
  <si>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</si>
  <si>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</si>
  <si>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</si>
  <si>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</si>
  <si>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</si>
  <si>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</si>
  <si>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</si>
  <si>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</si>
  <si>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</si>
  <si>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</si>
  <si>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</si>
  <si>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</si>
  <si>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</si>
  <si>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</si>
  <si>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</si>
  <si>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</si>
  <si>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</si>
  <si>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</si>
  <si>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</si>
  <si>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</si>
  <si>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</si>
  <si>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</si>
  <si>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</si>
  <si>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</si>
  <si>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</si>
  <si>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</si>
  <si>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</si>
  <si>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</si>
  <si>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</si>
  <si>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</si>
  <si>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</si>
  <si>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</si>
  <si>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</si>
  <si>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</si>
  <si>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</si>
  <si>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</si>
  <si>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</si>
  <si>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</si>
  <si>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</si>
  <si>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</si>
  <si>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</si>
  <si>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</si>
  <si>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</si>
  <si>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</si>
  <si>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</si>
  <si>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</si>
  <si>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</si>
  <si>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</si>
  <si>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</si>
  <si>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</si>
  <si>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</si>
  <si>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</si>
  <si>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</si>
  <si>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</si>
  <si>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</si>
  <si>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</si>
  <si>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</si>
  <si>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</si>
  <si>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</si>
  <si>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</si>
  <si>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</si>
  <si>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</si>
  <si>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</si>
  <si>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</si>
  <si>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</si>
  <si>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</si>
  <si>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</si>
  <si>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</si>
  <si>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</si>
  <si>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</si>
  <si>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</si>
  <si>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</si>
  <si>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</si>
  <si>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</si>
  <si>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</si>
  <si>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</si>
  <si>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</si>
  <si>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</si>
  <si>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</si>
  <si>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</si>
  <si>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</si>
  <si>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</si>
  <si>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</si>
  <si>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</si>
  <si>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</si>
  <si>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</si>
  <si>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</si>
  <si>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</si>
  <si>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</si>
  <si>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</si>
  <si>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</si>
  <si>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</si>
  <si>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</si>
  <si>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</si>
  <si>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</si>
  <si>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</si>
  <si>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</si>
  <si>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</si>
  <si>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</si>
  <si>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</si>
  <si>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</si>
  <si>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</si>
  <si>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</si>
  <si>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</si>
  <si>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</si>
  <si>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</si>
  <si>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</si>
  <si>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</si>
  <si>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</si>
  <si>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</si>
  <si>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</si>
  <si>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</si>
  <si>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</si>
  <si>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</si>
  <si>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</si>
  <si>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</si>
  <si>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</si>
  <si>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</si>
  <si>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</si>
  <si>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</si>
  <si>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</si>
  <si>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</si>
  <si>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</si>
  <si>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</si>
  <si>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</si>
  <si>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</si>
  <si>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</si>
  <si>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</si>
  <si>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</si>
  <si>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</si>
  <si>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</si>
  <si>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</si>
  <si>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</si>
  <si>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</si>
  <si>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</si>
  <si>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</si>
  <si>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</si>
  <si>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</si>
  <si>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</si>
  <si>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</si>
  <si>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</si>
  <si>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</si>
  <si>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</si>
  <si>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</si>
  <si>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</si>
  <si>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</si>
  <si>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</si>
  <si>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</si>
  <si>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</si>
  <si>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</si>
  <si>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</si>
  <si>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</si>
  <si>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</si>
  <si>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</si>
  <si>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</si>
  <si>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</si>
  <si>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</si>
  <si>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</si>
  <si>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</si>
  <si>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</si>
  <si>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</si>
  <si>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</si>
  <si>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</si>
  <si>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</si>
  <si>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</si>
  <si>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</si>
  <si>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</si>
  <si>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</si>
  <si>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</si>
  <si>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</si>
  <si>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</si>
  <si>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</si>
  <si>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</si>
  <si>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</si>
  <si>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</si>
  <si>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</si>
  <si>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</si>
  <si>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</si>
  <si>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</si>
  <si>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</si>
  <si>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</si>
  <si>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</si>
  <si>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</si>
  <si>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</si>
  <si>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</si>
  <si>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</si>
  <si>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</si>
  <si>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</si>
  <si>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</si>
  <si>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</si>
  <si>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</si>
  <si>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</si>
  <si>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</si>
  <si>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</si>
  <si>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</si>
  <si>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</si>
  <si>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</si>
  <si>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</si>
  <si>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</si>
  <si>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</si>
  <si>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</si>
  <si>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</si>
  <si>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</si>
  <si>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</si>
  <si>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</si>
  <si>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</si>
  <si>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</si>
  <si>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</si>
  <si>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</si>
  <si>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</si>
  <si>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</si>
  <si>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</si>
  <si>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</si>
  <si>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</si>
  <si>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</si>
  <si>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</si>
  <si>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</si>
  <si>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</si>
  <si>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</si>
  <si>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</si>
  <si>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</si>
  <si>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</si>
  <si>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</si>
  <si>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</si>
  <si>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</si>
  <si>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</si>
  <si>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</si>
  <si>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</si>
  <si>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</si>
  <si>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</si>
  <si>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</si>
  <si>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</si>
  <si>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</si>
  <si>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</si>
  <si>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</si>
  <si>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</si>
  <si>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</si>
  <si>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</si>
  <si>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</si>
  <si>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</si>
  <si>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</si>
  <si>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</si>
  <si>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</si>
  <si>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</si>
  <si>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</si>
  <si>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</si>
  <si>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</si>
  <si>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</si>
  <si>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</si>
  <si>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</si>
  <si>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</si>
  <si>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</si>
  <si>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</si>
  <si>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</si>
  <si>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</si>
  <si>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</si>
  <si>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</si>
  <si>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</si>
  <si>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</si>
  <si>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</si>
  <si>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</si>
  <si>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</si>
  <si>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</si>
  <si>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</si>
  <si>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</si>
  <si>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</si>
  <si>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</si>
  <si>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</si>
  <si>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</si>
  <si>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</si>
  <si>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</si>
  <si>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</si>
  <si>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</si>
  <si>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</si>
  <si>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</si>
  <si>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</si>
  <si>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</si>
  <si>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</si>
  <si>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</si>
  <si>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</si>
  <si>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</si>
  <si>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</si>
  <si>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</si>
  <si>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</si>
  <si>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</si>
  <si>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</si>
  <si>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</si>
  <si>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</si>
  <si>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</si>
  <si>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</si>
  <si>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</si>
  <si>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</si>
  <si>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</si>
  <si>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</si>
  <si>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</si>
  <si>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</si>
  <si>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</si>
  <si>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</si>
  <si>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</si>
  <si>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</si>
  <si>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</si>
  <si>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</si>
  <si>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</si>
  <si>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</si>
  <si>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</si>
  <si>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</si>
  <si>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</si>
  <si>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</si>
  <si>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</si>
  <si>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</si>
  <si>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</si>
  <si>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</si>
  <si>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</si>
  <si>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</si>
  <si>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</si>
  <si>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</si>
  <si>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</si>
  <si>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</si>
  <si>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</si>
  <si>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</si>
  <si>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</si>
  <si>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</si>
  <si>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</si>
  <si>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</si>
  <si>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</si>
  <si>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</si>
  <si>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</si>
  <si>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</si>
  <si>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</si>
  <si>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</si>
  <si>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</si>
  <si>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</si>
  <si>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</si>
  <si>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</si>
  <si>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</si>
  <si>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</si>
  <si>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</si>
  <si>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</si>
  <si>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</si>
  <si>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</si>
  <si>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</si>
  <si>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</si>
  <si>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</si>
  <si>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</si>
  <si>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</si>
  <si>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</si>
  <si>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</si>
  <si>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</si>
  <si>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</si>
  <si>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</si>
  <si>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</si>
  <si>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</si>
  <si>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</si>
  <si>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</si>
  <si>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</si>
  <si>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</si>
  <si>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</si>
  <si>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</si>
  <si>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</si>
  <si>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</si>
  <si>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</si>
  <si>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</si>
  <si>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</si>
  <si>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</si>
  <si>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</si>
  <si>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</si>
  <si>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</si>
  <si>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</si>
  <si>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</si>
  <si>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</si>
  <si>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</si>
  <si>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</si>
  <si>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</si>
  <si>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</si>
  <si>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</si>
  <si>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</si>
  <si>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</si>
  <si>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</si>
  <si>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</si>
  <si>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</si>
  <si>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</si>
  <si>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</si>
  <si>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</si>
  <si>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</si>
  <si>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</si>
  <si>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</si>
  <si>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</si>
  <si>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</si>
  <si>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</si>
  <si>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</si>
  <si>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</si>
  <si>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</si>
  <si>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</si>
  <si>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</si>
  <si>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</si>
  <si>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</si>
  <si>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</si>
  <si>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</si>
  <si>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</si>
  <si>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</si>
  <si>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</si>
  <si>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</si>
  <si>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</si>
  <si>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</si>
  <si>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</si>
  <si>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</si>
  <si>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</si>
  <si>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</si>
  <si>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</si>
  <si>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</si>
  <si>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</si>
  <si>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</si>
  <si>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</si>
  <si>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</si>
  <si>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</si>
  <si>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</si>
  <si>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</si>
  <si>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</si>
  <si>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</si>
  <si>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</si>
  <si>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</si>
  <si>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</si>
  <si>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</si>
  <si>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</si>
  <si>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</si>
  <si>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</si>
  <si>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</si>
  <si>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</si>
  <si>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</si>
  <si>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</si>
  <si>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</si>
  <si>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</si>
  <si>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</si>
  <si>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</si>
  <si>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</si>
  <si>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</si>
  <si>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</si>
  <si>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</si>
  <si>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</si>
  <si>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</si>
  <si>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</si>
  <si>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</si>
  <si>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</si>
  <si>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</si>
  <si>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</si>
  <si>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</si>
  <si>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</si>
  <si>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</si>
  <si>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</si>
  <si>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</si>
  <si>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</si>
  <si>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</si>
  <si>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</si>
  <si>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</si>
  <si>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</si>
  <si>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</si>
  <si>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</si>
  <si>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</si>
  <si>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</si>
  <si>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</si>
  <si>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</si>
  <si>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</si>
  <si>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</si>
  <si>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</si>
  <si>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</si>
  <si>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</si>
  <si>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</si>
  <si>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</si>
  <si>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</si>
  <si>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</si>
  <si>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</si>
  <si>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</si>
  <si>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</si>
  <si>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</si>
  <si>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</si>
  <si>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</si>
  <si>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</si>
  <si>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</si>
  <si>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</si>
  <si>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</si>
  <si>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</si>
  <si>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</si>
  <si>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</si>
  <si>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</si>
  <si>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</si>
  <si>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</si>
  <si>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</si>
  <si>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</si>
  <si>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</si>
  <si>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</si>
  <si>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</si>
  <si>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</si>
  <si>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</si>
  <si>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</si>
  <si>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</si>
  <si>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</si>
  <si>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</si>
  <si>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</si>
  <si>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</si>
  <si>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</si>
  <si>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</si>
  <si>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</si>
  <si>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</si>
  <si>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</si>
  <si>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</si>
  <si>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</si>
  <si>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</si>
  <si>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</si>
  <si>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</si>
  <si>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</si>
  <si>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</si>
  <si>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</si>
  <si>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</si>
  <si>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</si>
  <si>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</si>
  <si>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</si>
  <si>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</si>
  <si>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</si>
  <si>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</si>
  <si>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</si>
  <si>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</si>
  <si>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</si>
  <si>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</si>
  <si>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</si>
  <si>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</si>
  <si>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</si>
  <si>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</si>
  <si>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</si>
  <si>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</si>
  <si>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</si>
  <si>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</si>
  <si>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</si>
  <si>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</si>
  <si>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</si>
  <si>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</si>
  <si>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</si>
  <si>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</si>
  <si>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</si>
  <si>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</si>
  <si>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</si>
  <si>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</si>
  <si>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</si>
  <si>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</si>
  <si>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</si>
  <si>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</si>
  <si>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</si>
  <si>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</si>
  <si>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</si>
  <si>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</si>
  <si>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</si>
  <si>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</si>
  <si>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</si>
  <si>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</si>
  <si>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</si>
  <si>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</si>
  <si>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</si>
  <si>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</si>
  <si>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</si>
  <si>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</si>
  <si>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</si>
  <si>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</si>
  <si>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</si>
  <si>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</si>
  <si>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</si>
  <si>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</si>
  <si>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</si>
  <si>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</si>
  <si>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</si>
  <si>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</si>
  <si>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</si>
  <si>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</si>
  <si>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</si>
  <si>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</si>
  <si>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</si>
  <si>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</si>
  <si>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</si>
  <si>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</si>
  <si>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</si>
  <si>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</si>
  <si>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</si>
  <si>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</si>
  <si>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</si>
  <si>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</si>
  <si>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</si>
  <si>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</si>
  <si>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</si>
  <si>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</si>
  <si>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</si>
  <si>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</si>
  <si>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</si>
  <si>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</si>
  <si>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</si>
  <si>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</si>
  <si>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</si>
  <si>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</si>
  <si>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</si>
  <si>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</si>
  <si>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</si>
  <si>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</si>
  <si>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</si>
  <si>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</si>
  <si>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</si>
  <si>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</si>
  <si>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</si>
  <si>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</si>
  <si>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</si>
  <si>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</si>
  <si>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</si>
  <si>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</si>
  <si>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</si>
  <si>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</si>
  <si>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</si>
  <si>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</si>
  <si>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</si>
  <si>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</si>
  <si>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</si>
  <si>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</si>
  <si>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</si>
  <si>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</si>
  <si>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</si>
  <si>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</si>
  <si>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</si>
  <si>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</si>
  <si>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</si>
  <si>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</si>
  <si>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</si>
  <si>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</si>
  <si>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</si>
  <si>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</si>
  <si>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</si>
  <si>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</si>
  <si>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</si>
  <si>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</si>
  <si>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</si>
  <si>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</si>
  <si>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</si>
  <si>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</si>
  <si>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</si>
  <si>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</si>
  <si>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</si>
  <si>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</si>
  <si>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</si>
  <si>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</si>
  <si>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</si>
  <si>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</si>
  <si>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</si>
  <si>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</si>
  <si>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</si>
  <si>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</si>
  <si>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</si>
  <si>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</si>
  <si>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</si>
  <si>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</si>
  <si>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</si>
  <si>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</si>
  <si>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</si>
  <si>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</si>
  <si>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</si>
  <si>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</si>
  <si>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</si>
  <si>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</si>
  <si>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</si>
  <si>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</si>
  <si>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</si>
  <si>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</si>
  <si>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</si>
  <si>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</si>
  <si>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</si>
  <si>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</si>
  <si>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</si>
  <si>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</si>
  <si>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</si>
  <si>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</si>
  <si>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</si>
  <si>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</si>
  <si>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</si>
  <si>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</si>
  <si>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</si>
  <si>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</si>
  <si>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</si>
  <si>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</si>
  <si>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</si>
  <si>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</si>
  <si>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</si>
  <si>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</si>
  <si>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</si>
  <si>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</si>
  <si>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</si>
  <si>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</si>
  <si>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</si>
  <si>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</si>
  <si>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</si>
  <si>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</si>
  <si>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</si>
  <si>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</si>
  <si>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</si>
  <si>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</si>
  <si>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</si>
  <si>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</si>
  <si>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</si>
  <si>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</si>
  <si>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</si>
  <si>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</si>
  <si>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</si>
  <si>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</si>
  <si>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</si>
  <si>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</si>
  <si>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</si>
  <si>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</si>
  <si>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</si>
  <si>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</si>
  <si>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</si>
  <si>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</si>
  <si>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</si>
  <si>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</si>
  <si>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</si>
  <si>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</si>
  <si>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</si>
  <si>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</si>
  <si>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</si>
  <si>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</si>
  <si>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</si>
  <si>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</si>
  <si>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</si>
  <si>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</si>
  <si>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</si>
  <si>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</si>
  <si>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</si>
  <si>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</si>
  <si>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</si>
  <si>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</si>
  <si>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</si>
  <si>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</si>
  <si>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</si>
  <si>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</si>
  <si>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</si>
  <si>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</si>
  <si>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</si>
  <si>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</si>
  <si>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</si>
  <si>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</si>
  <si>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</si>
  <si>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</si>
  <si>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</si>
  <si>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</si>
  <si>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</si>
  <si>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</si>
  <si>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</si>
  <si>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</si>
  <si>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</si>
  <si>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</si>
  <si>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</si>
  <si>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</si>
  <si>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</si>
  <si>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</si>
  <si>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</si>
  <si>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</si>
  <si>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</si>
  <si>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</si>
  <si>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</si>
  <si>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</si>
  <si>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</si>
  <si>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</si>
  <si>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</si>
  <si>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</si>
  <si>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</si>
  <si>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</si>
  <si>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</si>
  <si>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</si>
  <si>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</si>
  <si>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</si>
  <si>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</si>
  <si>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</si>
  <si>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</si>
  <si>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</si>
  <si>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</si>
  <si>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</si>
  <si>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</si>
  <si>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</si>
  <si>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</si>
  <si>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</si>
  <si>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</si>
  <si>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</si>
  <si>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</si>
  <si>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</si>
  <si>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</si>
  <si>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</si>
  <si>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</si>
  <si>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</si>
  <si>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</si>
  <si>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</si>
  <si>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</si>
  <si>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</si>
  <si>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</si>
  <si>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</si>
  <si>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</si>
  <si>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</si>
  <si>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</si>
  <si>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</si>
  <si>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</si>
  <si>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</si>
  <si>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</si>
  <si>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</si>
  <si>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</si>
  <si>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</si>
  <si>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</si>
  <si>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</si>
  <si>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</si>
  <si>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</si>
  <si>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</si>
  <si>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</si>
  <si>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</si>
  <si>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</si>
  <si>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</si>
  <si>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</si>
  <si>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</si>
  <si>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</si>
  <si>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</si>
  <si>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</si>
  <si>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</si>
  <si>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</si>
  <si>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</si>
  <si>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</si>
  <si>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</si>
  <si>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</si>
  <si>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</si>
  <si>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</si>
  <si>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</si>
  <si>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</si>
  <si>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</si>
  <si>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</si>
  <si>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</si>
  <si>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</si>
  <si>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</si>
  <si>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</si>
  <si>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</si>
  <si>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</si>
  <si>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</si>
  <si>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</si>
  <si>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</si>
  <si>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</si>
  <si>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</si>
  <si>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</si>
  <si>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</si>
  <si>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</si>
  <si>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</si>
  <si>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</si>
  <si>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</si>
  <si>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</si>
  <si>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</si>
  <si>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</si>
  <si>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</si>
  <si>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</si>
  <si>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</si>
  <si>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</si>
  <si>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</si>
  <si>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</si>
  <si>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</si>
  <si>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</si>
  <si>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</si>
  <si>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</si>
  <si>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</si>
  <si>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</si>
  <si>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</si>
  <si>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</si>
  <si>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</si>
  <si>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</si>
  <si>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</si>
  <si>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</si>
  <si>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</si>
  <si>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</si>
  <si>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</si>
  <si>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</si>
  <si>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</si>
  <si>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</si>
  <si>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</si>
  <si>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</si>
  <si>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</si>
  <si>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</si>
  <si>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</si>
  <si>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</si>
  <si>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</si>
  <si>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</si>
  <si>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</si>
  <si>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</si>
  <si>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</si>
  <si>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</si>
  <si>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</si>
  <si>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</si>
  <si>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</si>
  <si>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</si>
  <si>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</si>
  <si>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</si>
  <si>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</si>
  <si>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</si>
  <si>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</si>
  <si>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</si>
  <si>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</si>
  <si>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</si>
  <si>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</si>
  <si>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</si>
  <si>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</si>
  <si>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</si>
  <si>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</si>
  <si>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</si>
  <si>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</si>
  <si>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</si>
  <si>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</si>
  <si>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</si>
  <si>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</si>
  <si>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</si>
  <si>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</si>
  <si>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</si>
  <si>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</si>
  <si>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</si>
  <si>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</si>
  <si>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</si>
  <si>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</si>
  <si>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</si>
  <si>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</si>
  <si>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</si>
  <si>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</si>
  <si>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</si>
  <si>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</si>
  <si>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</si>
  <si>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</si>
  <si>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</si>
  <si>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</si>
  <si>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</si>
  <si>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</si>
  <si>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</si>
  <si>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</si>
  <si>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</si>
  <si>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</si>
  <si>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</si>
  <si>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</si>
  <si>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</si>
  <si>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</si>
  <si>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</si>
  <si>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</si>
  <si>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</si>
  <si>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</si>
  <si>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</si>
  <si>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</si>
  <si>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</si>
  <si>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</si>
  <si>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</si>
  <si>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</si>
  <si>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</si>
  <si>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</si>
  <si>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</si>
  <si>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</si>
  <si>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</si>
  <si>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</si>
  <si>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</si>
  <si>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</si>
  <si>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</si>
  <si>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</si>
  <si>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</si>
  <si>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</si>
  <si>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</si>
  <si>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</si>
  <si>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</si>
  <si>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</si>
  <si>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</si>
  <si>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</si>
  <si>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</si>
  <si>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</si>
  <si>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</si>
  <si>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</si>
  <si>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</si>
  <si>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</si>
  <si>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</si>
  <si>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</si>
  <si>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</si>
  <si>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</si>
  <si>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</si>
  <si>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</si>
  <si>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</si>
  <si>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</si>
  <si>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</si>
  <si>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</si>
  <si>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</si>
  <si>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</si>
  <si>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</si>
  <si>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</si>
  <si>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</si>
  <si>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</si>
  <si>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</si>
  <si>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</si>
  <si>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</si>
  <si>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</si>
  <si>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</si>
  <si>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</si>
  <si>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</si>
  <si>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</si>
  <si>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</si>
  <si>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</si>
  <si>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</si>
  <si>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</si>
  <si>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</si>
  <si>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</si>
  <si>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</si>
  <si>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</si>
  <si>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</si>
  <si>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</si>
  <si>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</si>
  <si>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</si>
  <si>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</si>
  <si>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</si>
  <si>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</si>
  <si>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</si>
  <si>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</si>
  <si>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</si>
  <si>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</si>
  <si>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</si>
  <si>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</si>
  <si>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</si>
  <si>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</si>
  <si>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</si>
  <si>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</si>
  <si>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</si>
  <si>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</si>
  <si>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</si>
  <si>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</si>
  <si>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</si>
  <si>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</si>
  <si>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</si>
  <si>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</si>
  <si>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</si>
  <si>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</si>
  <si>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</si>
  <si>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</si>
  <si>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</si>
  <si>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</si>
  <si>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</si>
  <si>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</si>
  <si>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</si>
  <si>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</si>
  <si>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</si>
  <si>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</si>
  <si>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</si>
  <si>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</si>
  <si>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</si>
  <si>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</si>
  <si>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</si>
  <si>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</si>
  <si>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</si>
  <si>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</si>
  <si>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</si>
  <si>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</si>
  <si>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</si>
  <si>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</si>
  <si>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</si>
  <si>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</si>
  <si>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</si>
  <si>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</si>
  <si>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</si>
  <si>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</si>
  <si>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</si>
  <si>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</si>
  <si>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</si>
  <si>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</si>
  <si>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</si>
  <si>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</si>
  <si>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</si>
  <si>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</si>
  <si>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</si>
  <si>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</si>
  <si>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</si>
  <si>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</si>
  <si>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</si>
  <si>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</si>
  <si>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</si>
  <si>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</si>
  <si>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</si>
  <si>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</si>
  <si>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</si>
  <si>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</si>
  <si>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</si>
  <si>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</si>
  <si>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</si>
  <si>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</si>
  <si>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</si>
  <si>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</si>
  <si>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</si>
  <si>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</si>
  <si>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</si>
  <si>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</si>
  <si>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</si>
  <si>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</si>
  <si>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</si>
  <si>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</si>
  <si>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</si>
  <si>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</si>
  <si>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</si>
  <si>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</si>
  <si>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</si>
  <si>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</si>
  <si>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</si>
  <si>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</si>
  <si>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</si>
  <si>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</si>
  <si>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</si>
  <si>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</si>
  <si>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</si>
  <si>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</si>
  <si>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</si>
  <si>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</si>
  <si>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</si>
  <si>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</si>
  <si>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</si>
  <si>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</si>
  <si>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</si>
  <si>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</si>
  <si>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</si>
  <si>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</si>
  <si>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</si>
  <si>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</si>
  <si>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</si>
  <si>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</si>
  <si>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</si>
  <si>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</si>
  <si>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</si>
  <si>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</si>
  <si>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</si>
  <si>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</si>
  <si>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</si>
  <si>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</si>
  <si>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</si>
  <si>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</si>
  <si>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</si>
  <si>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</si>
  <si>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</si>
  <si>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</si>
  <si>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</si>
  <si>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</si>
  <si>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</si>
  <si>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</si>
  <si>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</si>
  <si>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</si>
  <si>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</si>
  <si>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</si>
  <si>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</si>
  <si>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</si>
  <si>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</si>
  <si>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</si>
  <si>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</si>
  <si>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</si>
  <si>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</si>
  <si>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</si>
  <si>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</si>
  <si>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</si>
  <si>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</si>
  <si>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</si>
  <si>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</si>
  <si>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</si>
  <si>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</si>
  <si>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</si>
  <si>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</si>
  <si>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</si>
  <si>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</si>
  <si>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</si>
  <si>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</si>
  <si>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</si>
  <si>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</si>
  <si>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</si>
  <si>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</si>
  <si>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</si>
  <si>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</si>
  <si>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</si>
  <si>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</si>
  <si>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</si>
  <si>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</si>
  <si>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</si>
  <si>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</si>
  <si>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</si>
  <si>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</si>
  <si>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</si>
  <si>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</si>
  <si>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</si>
  <si>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</si>
  <si>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</si>
  <si>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</si>
  <si>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</si>
  <si>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</si>
  <si>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</si>
  <si>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</si>
  <si>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</si>
  <si>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</si>
  <si>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</si>
  <si>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</si>
  <si>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</si>
  <si>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</si>
  <si>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</si>
  <si>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</si>
  <si>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</si>
  <si>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</si>
  <si>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</si>
  <si>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</si>
  <si>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</si>
  <si>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</si>
  <si>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</si>
  <si>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</si>
  <si>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</si>
  <si>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</si>
  <si>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</si>
  <si>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</si>
  <si>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</si>
  <si>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</si>
  <si>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</si>
  <si>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</si>
  <si>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</si>
  <si>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</si>
  <si>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</si>
  <si>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</si>
  <si>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</si>
  <si>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</si>
  <si>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</si>
  <si>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</si>
  <si>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</si>
  <si>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</si>
  <si>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</si>
  <si>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</si>
  <si>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</si>
  <si>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</si>
  <si>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</si>
  <si>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</si>
  <si>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</si>
  <si>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</si>
  <si>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</si>
  <si>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</si>
  <si>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</si>
  <si>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</si>
  <si>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</si>
  <si>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</si>
  <si>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</si>
  <si>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</si>
  <si>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</si>
  <si>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</si>
  <si>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</si>
  <si>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</si>
  <si>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</si>
  <si>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</si>
  <si>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</si>
  <si>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</si>
  <si>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</si>
  <si>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</si>
  <si>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</si>
  <si>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</si>
  <si>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</si>
  <si>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</si>
  <si>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</si>
  <si>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</si>
  <si>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</si>
  <si>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</si>
  <si>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</si>
  <si>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</si>
  <si>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</si>
  <si>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</si>
  <si>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</si>
  <si>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</si>
  <si>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</si>
  <si>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</si>
  <si>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</si>
  <si>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</si>
  <si>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</si>
  <si>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</si>
  <si>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</si>
  <si>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</si>
  <si>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</si>
  <si>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</si>
  <si>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</si>
  <si>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</si>
  <si>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</si>
  <si>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</si>
  <si>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</si>
  <si>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</si>
  <si>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</si>
  <si>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</si>
  <si>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</si>
  <si>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</si>
  <si>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</si>
  <si>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</si>
  <si>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</si>
  <si>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</si>
  <si>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</si>
  <si>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</si>
  <si>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</si>
  <si>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</si>
  <si>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</si>
  <si>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</si>
  <si>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</si>
  <si>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</si>
  <si>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</si>
  <si>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</si>
  <si>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</si>
  <si>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</si>
  <si>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</si>
  <si>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</si>
  <si>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</si>
  <si>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</si>
  <si>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</si>
  <si>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</si>
  <si>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</si>
  <si>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</si>
  <si>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</si>
  <si>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</si>
  <si>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</si>
  <si>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</si>
  <si>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</si>
  <si>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</si>
  <si>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</si>
  <si>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</si>
  <si>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</si>
  <si>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</si>
  <si>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</si>
  <si>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</si>
  <si>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</si>
  <si>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</si>
  <si>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</si>
  <si>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</si>
  <si>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</si>
  <si>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</si>
  <si>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</si>
  <si>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</si>
  <si>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</si>
  <si>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</si>
  <si>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</si>
  <si>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</si>
  <si>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</si>
  <si>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</si>
  <si>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</si>
  <si>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</si>
  <si>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</si>
  <si>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</si>
  <si>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</si>
  <si>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</si>
  <si>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</si>
  <si>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</si>
  <si>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</si>
  <si>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</si>
  <si>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</si>
  <si>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</si>
  <si>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</si>
  <si>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</si>
  <si>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</si>
  <si>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</si>
  <si>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</si>
  <si>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</si>
  <si>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</si>
  <si>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</si>
  <si>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</si>
  <si>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</si>
  <si>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</si>
  <si>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</si>
  <si>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</si>
  <si>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</si>
  <si>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</si>
  <si>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</si>
  <si>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</si>
  <si>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</si>
  <si>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</si>
  <si>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</si>
  <si>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</si>
  <si>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</si>
  <si>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</si>
  <si>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</si>
  <si>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</si>
  <si>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</si>
  <si>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</si>
  <si>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</si>
  <si>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</si>
  <si>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</si>
  <si>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</si>
  <si>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</si>
  <si>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</si>
  <si>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</si>
  <si>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</si>
  <si>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</si>
  <si>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</si>
  <si>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</si>
  <si>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</si>
  <si>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</si>
  <si>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</si>
  <si>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</si>
  <si>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</si>
  <si>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</si>
  <si>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</si>
  <si>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</si>
  <si>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</si>
  <si>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</si>
  <si>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</si>
  <si>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</si>
  <si>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</si>
  <si>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</si>
  <si>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</si>
  <si>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</si>
  <si>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</si>
  <si>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</si>
  <si>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</si>
  <si>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</si>
  <si>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</si>
  <si>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</si>
  <si>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</si>
  <si>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</si>
  <si>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</si>
  <si>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</si>
  <si>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</si>
  <si>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</si>
  <si>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</si>
  <si>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</si>
  <si>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</si>
  <si>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</si>
  <si>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</si>
  <si>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</si>
  <si>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</si>
  <si>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</si>
  <si>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</si>
  <si>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</si>
  <si>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</si>
  <si>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</si>
  <si>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</si>
  <si>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</si>
  <si>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</si>
  <si>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</si>
  <si>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</si>
  <si>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</si>
  <si>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</si>
  <si>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</si>
  <si>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</si>
  <si>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</si>
  <si>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</si>
  <si>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</si>
  <si>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</si>
  <si>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</si>
  <si>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</si>
  <si>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</si>
  <si>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</si>
  <si>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</si>
  <si>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</si>
  <si>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</si>
  <si>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</si>
  <si>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</si>
  <si>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</si>
  <si>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</si>
  <si>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</si>
  <si>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</si>
  <si>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</si>
  <si>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</si>
  <si>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</si>
  <si>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</si>
  <si>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</si>
  <si>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</si>
  <si>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</si>
  <si>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</si>
  <si>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</si>
  <si>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</si>
  <si>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</si>
  <si>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</si>
  <si>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</si>
  <si>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</si>
  <si>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</si>
  <si>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</si>
  <si>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</si>
  <si>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</si>
  <si>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</si>
  <si>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</si>
  <si>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</si>
  <si>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</si>
  <si>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</si>
  <si>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</si>
  <si>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</si>
  <si>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</si>
  <si>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</si>
  <si>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</si>
  <si>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</si>
  <si>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</si>
  <si>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</si>
  <si>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</si>
  <si>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</si>
  <si>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</si>
  <si>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</si>
  <si>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</si>
  <si>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</si>
  <si>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</si>
  <si>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</si>
  <si>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</si>
  <si>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</si>
  <si>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</si>
  <si>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</si>
  <si>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</si>
  <si>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</si>
  <si>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</si>
  <si>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</si>
  <si>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</si>
  <si>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</si>
  <si>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</si>
  <si>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</si>
  <si>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</si>
  <si>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</si>
  <si>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</si>
  <si>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</si>
  <si>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</si>
  <si>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</si>
  <si>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</si>
  <si>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</si>
  <si>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</si>
  <si>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</si>
  <si>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</si>
  <si>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</si>
  <si>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</si>
  <si>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</si>
  <si>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</si>
  <si>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</si>
  <si>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</si>
  <si>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</si>
  <si>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</si>
  <si>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</si>
  <si>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</si>
  <si>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</si>
  <si>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</si>
  <si>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</si>
  <si>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</si>
  <si>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</si>
  <si>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</si>
  <si>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</si>
  <si>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</si>
  <si>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</si>
  <si>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</si>
  <si>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</si>
  <si>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</si>
  <si>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</si>
  <si>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</si>
  <si>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</si>
  <si>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</si>
  <si>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</si>
  <si>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</si>
  <si>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</si>
  <si>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</si>
  <si>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</si>
  <si>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</si>
  <si>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</si>
  <si>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</si>
  <si>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</si>
  <si>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</si>
  <si>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</si>
  <si>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</si>
  <si>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</si>
  <si>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</si>
  <si>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</si>
  <si>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</si>
  <si>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</si>
  <si>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</si>
  <si>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</si>
  <si>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</si>
  <si>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</si>
  <si>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</si>
  <si>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</si>
  <si>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</si>
  <si>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</si>
  <si>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</si>
  <si>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</si>
  <si>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</si>
  <si>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</si>
  <si>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</si>
  <si>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</si>
  <si>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</si>
  <si>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</si>
  <si>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</si>
  <si>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</si>
  <si>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</si>
  <si>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</si>
  <si>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</si>
  <si>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</si>
  <si>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</si>
  <si>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</si>
  <si>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</si>
  <si>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</si>
  <si>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</si>
  <si>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</si>
  <si>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</si>
  <si>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</si>
  <si>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</si>
  <si>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</si>
  <si>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</si>
  <si>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</si>
  <si>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</si>
  <si>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</si>
  <si>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</si>
  <si>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</si>
  <si>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</si>
  <si>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</si>
  <si>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</si>
  <si>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</si>
  <si>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</si>
  <si>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</si>
  <si>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</si>
  <si>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</si>
  <si>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</si>
  <si>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</si>
  <si>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</si>
  <si>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</si>
  <si>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</si>
  <si>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</si>
  <si>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</si>
  <si>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</si>
  <si>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</si>
  <si>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</si>
  <si>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</si>
  <si>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</si>
  <si>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</si>
  <si>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</si>
  <si>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</si>
  <si>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</si>
  <si>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</si>
  <si>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</si>
  <si>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</si>
  <si>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</si>
  <si>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</si>
  <si>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</si>
  <si>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</si>
  <si>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</si>
  <si>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</si>
  <si>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</si>
  <si>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</si>
  <si>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</si>
  <si>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</si>
  <si>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</si>
  <si>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</si>
  <si>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</si>
  <si>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</si>
  <si>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</si>
  <si>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</si>
  <si>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</si>
  <si>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</si>
  <si>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</si>
  <si>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</si>
  <si>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</si>
  <si>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</si>
  <si>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</si>
  <si>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</si>
  <si>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</si>
  <si>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</si>
  <si>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</si>
  <si>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</si>
  <si>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</si>
  <si>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</si>
  <si>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</si>
  <si>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</si>
  <si>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</si>
  <si>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</si>
  <si>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</si>
  <si>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</si>
  <si>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</si>
  <si>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</si>
  <si>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</si>
  <si>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</si>
  <si>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</si>
  <si>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</si>
  <si>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</si>
  <si>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</si>
  <si>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</si>
  <si>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</si>
  <si>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</si>
  <si>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</si>
  <si>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</si>
  <si>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</si>
  <si>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</si>
  <si>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</si>
  <si>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</si>
  <si>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</si>
  <si>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</si>
  <si>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</si>
  <si>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</si>
  <si>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</si>
  <si>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</si>
  <si>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</si>
  <si>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</si>
  <si>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</si>
  <si>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</si>
  <si>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</si>
  <si>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</si>
  <si>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</si>
  <si>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</si>
  <si>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</si>
  <si>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</si>
  <si>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</si>
  <si>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</si>
  <si>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</si>
  <si>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</si>
  <si>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</si>
  <si>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</si>
  <si>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</si>
  <si>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</si>
  <si>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</si>
  <si>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</si>
  <si>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</si>
  <si>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</si>
  <si>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</si>
  <si>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</si>
  <si>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</si>
  <si>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</si>
  <si>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</si>
  <si>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</si>
  <si>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</si>
  <si>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</si>
  <si>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</si>
  <si>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</si>
  <si>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</si>
  <si>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</si>
  <si>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</si>
  <si>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</si>
  <si>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</si>
  <si>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</si>
  <si>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</si>
  <si>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</si>
  <si>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</si>
  <si>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</si>
  <si>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</si>
  <si>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</si>
  <si>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</si>
  <si>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</si>
  <si>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</si>
  <si>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</si>
  <si>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</si>
  <si>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</si>
  <si>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</si>
  <si>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</si>
  <si>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</si>
  <si>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</si>
  <si>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</si>
  <si>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</si>
  <si>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</si>
  <si>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</si>
  <si>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</si>
  <si>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</si>
  <si>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</si>
  <si>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</si>
  <si>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</si>
  <si>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</si>
  <si>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</si>
  <si>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</si>
  <si>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</si>
  <si>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</si>
  <si>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</si>
  <si>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</si>
  <si>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</si>
  <si>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</si>
  <si>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</si>
  <si>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</si>
  <si>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</si>
  <si>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</si>
  <si>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</si>
  <si>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</si>
  <si>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</si>
  <si>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</si>
  <si>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</si>
  <si>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</si>
  <si>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</si>
  <si>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</si>
  <si>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</si>
  <si>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</si>
  <si>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</si>
  <si>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</si>
  <si>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</si>
  <si>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</si>
  <si>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</si>
  <si>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</si>
  <si>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</si>
  <si>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</si>
  <si>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</si>
  <si>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</si>
  <si>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</si>
  <si>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</si>
  <si>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</si>
  <si>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</si>
  <si>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</si>
  <si>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</si>
  <si>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</si>
  <si>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</si>
  <si>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</si>
  <si>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</si>
  <si>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</si>
  <si>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</si>
  <si>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</si>
  <si>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</si>
  <si>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</si>
  <si>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</si>
  <si>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</si>
  <si>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</si>
  <si>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</si>
  <si>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</si>
  <si>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</si>
  <si>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</si>
  <si>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</si>
  <si>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</si>
  <si>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</si>
  <si>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</si>
  <si>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</si>
  <si>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</si>
  <si>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</si>
  <si>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</si>
  <si>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</si>
  <si>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</si>
  <si>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</si>
  <si>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</si>
  <si>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</si>
  <si>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</si>
  <si>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</si>
  <si>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</si>
  <si>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</si>
  <si>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</si>
  <si>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</si>
  <si>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</si>
  <si>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</si>
  <si>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</si>
  <si>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</si>
  <si>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</si>
  <si>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</si>
  <si>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</si>
  <si>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</si>
  <si>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</si>
  <si>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</si>
  <si>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</si>
  <si>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</si>
  <si>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</si>
  <si>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</si>
  <si>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</si>
  <si>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</si>
  <si>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</si>
  <si>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</si>
  <si>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</si>
  <si>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</si>
  <si>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</si>
  <si>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</si>
  <si>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</si>
  <si>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</si>
  <si>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</si>
  <si>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</si>
  <si>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</si>
  <si>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</si>
  <si>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</si>
  <si>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</si>
  <si>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</si>
  <si>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</si>
  <si>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</si>
  <si>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</si>
  <si>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</si>
  <si>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</si>
  <si>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</si>
  <si>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</si>
  <si>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</si>
  <si>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</si>
  <si>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</si>
  <si>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</si>
  <si>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</si>
  <si>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</si>
  <si>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</si>
  <si>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</si>
  <si>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</si>
  <si>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</si>
  <si>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</si>
  <si>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</si>
  <si>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</si>
  <si>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</si>
  <si>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</si>
  <si>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</si>
  <si>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</si>
  <si>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</si>
  <si>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</si>
  <si>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</si>
  <si>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</si>
  <si>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</si>
  <si>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</si>
  <si>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</si>
  <si>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</si>
  <si>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</si>
  <si>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</si>
  <si>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</si>
  <si>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</si>
  <si>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</si>
  <si>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</si>
  <si>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</si>
  <si>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</si>
  <si>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</si>
  <si>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</si>
  <si>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</si>
  <si>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</si>
  <si>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</si>
  <si>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</si>
  <si>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</si>
  <si>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</si>
  <si>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</si>
  <si>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</si>
  <si>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</si>
  <si>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</si>
  <si>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</si>
  <si>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</si>
  <si>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</si>
  <si>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</si>
  <si>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</si>
  <si>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</si>
  <si>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</si>
  <si>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</si>
  <si>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</si>
  <si>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</si>
  <si>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</si>
  <si>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</si>
  <si>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</si>
  <si>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</si>
  <si>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</si>
  <si>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</si>
  <si>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</si>
  <si>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</si>
  <si>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</si>
  <si>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</si>
  <si>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</si>
  <si>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</si>
  <si>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</si>
  <si>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</si>
  <si>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</si>
  <si>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</si>
  <si>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</si>
  <si>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</si>
  <si>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</si>
  <si>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</si>
  <si>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</si>
  <si>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</si>
  <si>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</si>
  <si>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</si>
  <si>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</si>
  <si>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</si>
  <si>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</si>
  <si>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</si>
  <si>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</si>
  <si>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</si>
  <si>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</si>
  <si>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</si>
  <si>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</si>
  <si>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</si>
  <si>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</si>
  <si>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</si>
  <si>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</si>
  <si>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</si>
  <si>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</si>
  <si>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</si>
  <si>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</si>
  <si>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</si>
  <si>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</si>
  <si>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</si>
  <si>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</si>
  <si>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</si>
  <si>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</si>
  <si>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</si>
  <si>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</si>
  <si>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</si>
  <si>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</si>
  <si>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</si>
  <si>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</si>
  <si>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</si>
  <si>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</si>
  <si>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</si>
  <si>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</si>
  <si>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</si>
  <si>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</si>
  <si>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</si>
  <si>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</si>
  <si>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</si>
  <si>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</si>
  <si>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</si>
  <si>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</si>
  <si>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</si>
  <si>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</si>
  <si>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</si>
  <si>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</si>
  <si>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</si>
  <si>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</si>
  <si>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</si>
  <si>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</si>
  <si>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</si>
  <si>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</si>
  <si>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</si>
  <si>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</si>
  <si>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</si>
  <si>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</si>
  <si>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</si>
  <si>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</si>
  <si>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</si>
  <si>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</si>
  <si>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</si>
  <si>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</si>
  <si>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</si>
  <si>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</si>
  <si>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</si>
  <si>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</si>
  <si>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</si>
  <si>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</si>
  <si>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</si>
  <si>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</si>
  <si>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</si>
  <si>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</si>
  <si>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</si>
  <si>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</si>
  <si>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</si>
  <si>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</si>
  <si>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</si>
  <si>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</si>
  <si>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</si>
  <si>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</si>
  <si>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</si>
  <si>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</si>
  <si>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</si>
  <si>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</si>
  <si>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</si>
  <si>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</si>
  <si>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</si>
  <si>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</si>
  <si>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</si>
  <si>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</si>
  <si>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</si>
  <si>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</si>
  <si>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</si>
  <si>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</si>
  <si>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</si>
  <si>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</si>
  <si>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</si>
  <si>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</si>
  <si>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</si>
  <si>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</si>
  <si>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</si>
  <si>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</si>
  <si>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</si>
  <si>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</si>
  <si>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</si>
  <si>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</si>
  <si>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</si>
  <si>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</si>
  <si>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</si>
  <si>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</si>
  <si>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</si>
  <si>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</si>
  <si>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</si>
  <si>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</si>
  <si>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</si>
  <si>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</si>
  <si>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</si>
  <si>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</si>
  <si>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</si>
  <si>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</si>
  <si>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</si>
  <si>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</si>
  <si>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</si>
  <si>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</si>
  <si>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</si>
  <si>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</si>
  <si>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</si>
  <si>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</si>
  <si>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</si>
  <si>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</si>
  <si>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</si>
  <si>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</si>
  <si>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</si>
  <si>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</si>
  <si>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</si>
  <si>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</si>
  <si>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</si>
  <si>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</si>
  <si>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</si>
  <si>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</si>
  <si>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</si>
  <si>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</si>
  <si>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</si>
  <si>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</si>
  <si>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</si>
  <si>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</si>
  <si>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</si>
  <si>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</si>
  <si>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</si>
  <si>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</si>
  <si>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</si>
  <si>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</si>
  <si>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</si>
  <si>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</si>
  <si>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</si>
  <si>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</si>
  <si>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</si>
  <si>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</si>
  <si>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</si>
  <si>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</si>
  <si>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</si>
  <si>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</si>
  <si>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</si>
  <si>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</si>
  <si>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</si>
  <si>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</si>
  <si>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</si>
  <si>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</si>
  <si>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</si>
  <si>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</si>
  <si>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</si>
  <si>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</si>
  <si>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</si>
  <si>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</si>
  <si>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</si>
  <si>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</si>
  <si>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</si>
  <si>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</si>
  <si>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</si>
  <si>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</si>
  <si>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</si>
  <si>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</si>
  <si>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</si>
  <si>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</si>
  <si>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</si>
  <si>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</si>
  <si>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</si>
  <si>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</si>
  <si>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</si>
  <si>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</si>
  <si>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</si>
  <si>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</si>
  <si>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</si>
  <si>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</si>
  <si>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</si>
  <si>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</si>
  <si>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</si>
  <si>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</si>
  <si>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</si>
  <si>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</si>
  <si>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</si>
  <si>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</si>
  <si>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</si>
  <si>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</si>
  <si>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</si>
  <si>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</si>
  <si>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</si>
  <si>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</si>
  <si>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</si>
  <si>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</si>
  <si>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</si>
  <si>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</si>
  <si>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</si>
  <si>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</si>
  <si>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</si>
  <si>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</si>
  <si>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</si>
  <si>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</si>
  <si>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</si>
  <si>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</si>
  <si>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</si>
  <si>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</si>
  <si>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</si>
  <si>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</si>
  <si>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</si>
  <si>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</si>
  <si>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</si>
  <si>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</si>
  <si>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</si>
  <si>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</si>
  <si>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</si>
  <si>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</si>
  <si>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</si>
  <si>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</si>
  <si>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</si>
  <si>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</si>
  <si>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</si>
  <si>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</si>
  <si>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</si>
  <si>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</si>
  <si>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</si>
  <si>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</si>
  <si>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</si>
  <si>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</si>
  <si>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</si>
  <si>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</si>
  <si>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</si>
  <si>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</si>
  <si>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</si>
  <si>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</si>
  <si>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</si>
  <si>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</si>
  <si>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</si>
  <si>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</si>
  <si>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</si>
  <si>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</si>
  <si>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</si>
  <si>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</si>
  <si>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</si>
  <si>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</si>
  <si>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</si>
  <si>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</si>
  <si>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</si>
  <si>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</si>
  <si>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</si>
  <si>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</si>
  <si>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</si>
  <si>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</si>
  <si>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</si>
  <si>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</si>
  <si>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</si>
  <si>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</si>
  <si>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</si>
  <si>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</si>
  <si>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</si>
  <si>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</si>
  <si>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</si>
  <si>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</si>
  <si>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</si>
  <si>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</si>
  <si>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</si>
  <si>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</si>
  <si>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</si>
  <si>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</si>
  <si>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</si>
  <si>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</si>
  <si>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</si>
  <si>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</si>
  <si>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</si>
  <si>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</si>
  <si>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</si>
  <si>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</si>
  <si>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</si>
  <si>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</si>
  <si>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</si>
  <si>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</si>
  <si>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</si>
  <si>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</si>
  <si>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</si>
  <si>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</si>
  <si>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</si>
  <si>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</si>
  <si>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</si>
  <si>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</si>
  <si>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</si>
  <si>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</si>
  <si>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</si>
  <si>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</si>
  <si>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</si>
  <si>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</si>
  <si>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</si>
  <si>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</si>
  <si>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</si>
  <si>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</si>
  <si>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</si>
  <si>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</si>
  <si>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</si>
  <si>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</si>
  <si>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</si>
  <si>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</si>
  <si>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</si>
  <si>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</si>
  <si>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</si>
  <si>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</si>
  <si>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</si>
  <si>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</si>
  <si>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</si>
  <si>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</si>
  <si>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</si>
  <si>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</si>
  <si>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</si>
  <si>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</si>
  <si>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</si>
  <si>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</si>
  <si>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</si>
  <si>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</si>
  <si>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</si>
  <si>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</si>
  <si>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</si>
  <si>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</si>
  <si>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</si>
  <si>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</si>
  <si>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</si>
  <si>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</si>
  <si>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</si>
  <si>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</si>
  <si>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</si>
  <si>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</si>
  <si>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</si>
  <si>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</si>
  <si>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</si>
  <si>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</si>
  <si>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</si>
  <si>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</si>
  <si>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</si>
  <si>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</si>
  <si>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</si>
  <si>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</si>
  <si>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</si>
  <si>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</si>
  <si>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</si>
  <si>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</si>
  <si>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</si>
  <si>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</si>
  <si>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</si>
  <si>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</si>
  <si>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</si>
  <si>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</si>
  <si>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</si>
  <si>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</si>
  <si>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</si>
  <si>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</si>
  <si>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</si>
  <si>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</si>
  <si>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</si>
  <si>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</si>
  <si>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</si>
  <si>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</si>
  <si>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</si>
  <si>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</si>
  <si>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</si>
  <si>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</si>
  <si>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</si>
  <si>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</si>
  <si>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</si>
  <si>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</si>
  <si>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</si>
  <si>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</si>
  <si>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</si>
  <si>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</si>
  <si>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</si>
  <si>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</si>
  <si>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</si>
  <si>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</si>
  <si>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</si>
  <si>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</si>
  <si>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</si>
  <si>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</si>
  <si>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</si>
  <si>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</si>
  <si>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</si>
  <si>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</si>
  <si>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</si>
  <si>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</si>
  <si>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</si>
  <si>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</si>
  <si>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</si>
  <si>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</si>
  <si>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</si>
  <si>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</si>
  <si>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</si>
  <si>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</si>
  <si>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</si>
  <si>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</si>
  <si>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</si>
  <si>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</si>
  <si>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</si>
  <si>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</si>
  <si>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</si>
  <si>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</si>
  <si>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</si>
  <si>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</si>
  <si>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</si>
  <si>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</si>
  <si>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</si>
  <si>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</si>
  <si>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</si>
  <si>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</si>
  <si>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</si>
  <si>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</si>
  <si>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</si>
  <si>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</si>
  <si>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</si>
  <si>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</si>
  <si>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</si>
  <si>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</si>
  <si>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</si>
  <si>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</si>
  <si>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</si>
  <si>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</si>
  <si>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</si>
  <si>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</si>
  <si>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</si>
  <si>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</si>
  <si>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</si>
  <si>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</si>
  <si>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</si>
  <si>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</si>
  <si>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</si>
  <si>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</si>
  <si>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</si>
  <si>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</si>
  <si>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</si>
  <si>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</si>
  <si>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</si>
  <si>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</si>
  <si>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</si>
  <si>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</si>
  <si>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</si>
  <si>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</si>
  <si>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</si>
  <si>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</si>
  <si>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</si>
  <si>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</si>
  <si>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</si>
  <si>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</si>
  <si>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</si>
  <si>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</si>
  <si>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</si>
  <si>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</si>
  <si>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</si>
  <si>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</si>
  <si>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</si>
  <si>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</si>
  <si>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</si>
  <si>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</si>
  <si>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</si>
  <si>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</si>
  <si>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</si>
  <si>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</si>
  <si>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</si>
  <si>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</si>
  <si>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</si>
  <si>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</si>
  <si>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</si>
  <si>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</si>
  <si>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</si>
  <si>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</si>
  <si>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</si>
  <si>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</si>
  <si>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</si>
  <si>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</si>
  <si>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</si>
  <si>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</si>
  <si>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</si>
  <si>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</si>
  <si>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</si>
  <si>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</si>
  <si>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</si>
  <si>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</si>
  <si>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</si>
  <si>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</si>
  <si>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</si>
  <si>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</si>
  <si>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</si>
  <si>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</si>
  <si>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</si>
  <si>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</si>
  <si>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</si>
  <si>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</si>
  <si>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</si>
  <si>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</si>
  <si>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</si>
  <si>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</si>
  <si>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</si>
  <si>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</si>
  <si>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</si>
  <si>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</si>
  <si>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</si>
  <si>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</si>
  <si>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</si>
  <si>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</si>
  <si>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</si>
  <si>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</si>
  <si>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</si>
  <si>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</si>
  <si>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</si>
  <si>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</si>
  <si>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</si>
  <si>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</si>
  <si>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</si>
  <si>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</si>
  <si>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</si>
  <si>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</si>
  <si>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</si>
  <si>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</si>
  <si>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</si>
  <si>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</si>
  <si>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</si>
  <si>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</si>
  <si>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</si>
  <si>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</si>
  <si>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</si>
  <si>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</si>
  <si>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</si>
  <si>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</si>
  <si>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</si>
  <si>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</si>
  <si>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</si>
  <si>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</si>
  <si>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</si>
  <si>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</si>
  <si>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</si>
  <si>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</si>
  <si>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</si>
  <si>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</si>
  <si>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</si>
  <si>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</si>
  <si>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</si>
  <si>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</si>
  <si>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</si>
  <si>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</si>
  <si>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</si>
  <si>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</si>
  <si>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</si>
  <si>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</si>
  <si>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</si>
  <si>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</si>
  <si>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</si>
  <si>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</si>
  <si>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</si>
  <si>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</si>
  <si>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</si>
  <si>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</si>
  <si>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</si>
  <si>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</si>
  <si>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</si>
  <si>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</si>
  <si>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</si>
  <si>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</si>
  <si>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</si>
  <si>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</si>
  <si>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</si>
  <si>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</si>
  <si>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</si>
  <si>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</si>
  <si>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</si>
  <si>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</si>
  <si>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</si>
  <si>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</si>
  <si>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</si>
  <si>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</si>
  <si>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</si>
  <si>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</si>
  <si>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</si>
  <si>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</si>
  <si>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</si>
  <si>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</si>
  <si>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</si>
  <si>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</si>
  <si>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</si>
  <si>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</si>
  <si>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</si>
  <si>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</si>
  <si>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</si>
  <si>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</si>
  <si>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</si>
  <si>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</si>
  <si>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</si>
  <si>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</si>
  <si>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</si>
  <si>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</si>
  <si>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</si>
  <si>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</si>
  <si>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</si>
  <si>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</si>
  <si>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</si>
  <si>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</si>
  <si>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</si>
  <si>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</si>
  <si>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</si>
  <si>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</si>
  <si>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</si>
  <si>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</si>
  <si>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</si>
  <si>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</si>
  <si>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</si>
  <si>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</si>
  <si>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</si>
  <si>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</si>
  <si>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</si>
  <si>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</si>
  <si>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</si>
  <si>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</si>
  <si>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</si>
  <si>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</si>
  <si>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</si>
  <si>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</si>
  <si>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</si>
  <si>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</si>
  <si>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</si>
  <si>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</si>
  <si>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</si>
  <si>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</si>
  <si>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</si>
  <si>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</si>
  <si>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</si>
  <si>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</si>
  <si>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</si>
  <si>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</si>
  <si>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</si>
  <si>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</si>
  <si>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</si>
  <si>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</si>
  <si>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</si>
  <si>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</si>
  <si>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</si>
  <si>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</si>
  <si>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</si>
  <si>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</si>
  <si>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</si>
  <si>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</si>
  <si>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</si>
  <si>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</si>
  <si>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</si>
  <si>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</si>
  <si>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</si>
  <si>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</si>
  <si>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</si>
  <si>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</si>
  <si>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</si>
  <si>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</si>
  <si>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</si>
  <si>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</si>
  <si>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</si>
  <si>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</si>
  <si>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</si>
  <si>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</si>
  <si>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</si>
  <si>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</si>
  <si>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</si>
  <si>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</si>
  <si>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</si>
  <si>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</si>
  <si>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</si>
  <si>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</si>
  <si>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</si>
  <si>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</si>
  <si>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</si>
  <si>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</si>
  <si>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</si>
  <si>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</si>
  <si>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</si>
  <si>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</si>
  <si>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</si>
  <si>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</si>
  <si>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</si>
  <si>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</si>
  <si>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</si>
  <si>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</si>
  <si>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</si>
  <si>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</si>
  <si>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</si>
  <si>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</si>
  <si>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</si>
  <si>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</si>
  <si>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</si>
  <si>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</si>
  <si>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</si>
  <si>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</si>
  <si>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</si>
  <si>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</si>
  <si>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</si>
  <si>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</si>
  <si>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</si>
  <si>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</si>
  <si>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</si>
  <si>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</si>
  <si>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</si>
  <si>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</si>
  <si>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</si>
  <si>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</si>
  <si>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</si>
  <si>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</si>
  <si>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</si>
  <si>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</si>
  <si>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</si>
  <si>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</si>
  <si>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</si>
  <si>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</si>
  <si>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</si>
  <si>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</si>
  <si>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</si>
  <si>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</si>
  <si>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</si>
  <si>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</si>
  <si>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</si>
  <si>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</si>
  <si>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</si>
  <si>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</si>
  <si>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</si>
  <si>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</si>
  <si>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</si>
  <si>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</si>
  <si>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</si>
  <si>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</si>
  <si>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</si>
  <si>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</si>
  <si>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</si>
  <si>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</si>
  <si>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</si>
  <si>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</si>
  <si>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</si>
  <si>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</si>
  <si>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</si>
  <si>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</si>
  <si>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</si>
  <si>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</si>
  <si>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</si>
  <si>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</si>
  <si>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</si>
  <si>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</si>
  <si>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</si>
  <si>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</si>
  <si>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</si>
  <si>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</si>
  <si>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</si>
  <si>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</si>
  <si>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</si>
  <si>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</si>
  <si>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</si>
  <si>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</si>
  <si>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</si>
  <si>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</si>
  <si>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</si>
  <si>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</si>
  <si>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</si>
  <si>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</si>
  <si>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</si>
  <si>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</si>
  <si>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</si>
  <si>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</si>
  <si>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</si>
  <si>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</si>
  <si>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</si>
  <si>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</si>
  <si>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</si>
  <si>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</si>
  <si>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</si>
  <si>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</si>
  <si>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</si>
  <si>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</si>
  <si>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</si>
  <si>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</si>
  <si>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</si>
  <si>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</si>
  <si>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</si>
  <si>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</si>
  <si>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</si>
  <si>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</si>
  <si>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</si>
  <si>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</si>
  <si>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</si>
  <si>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</si>
  <si>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</si>
  <si>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</si>
  <si>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</si>
  <si>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</si>
  <si>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</si>
  <si>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</si>
  <si>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</si>
  <si>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</si>
  <si>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</si>
  <si>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</si>
  <si>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</si>
  <si>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</si>
  <si>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</si>
  <si>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</si>
  <si>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</si>
  <si>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</si>
  <si>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</si>
  <si>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</si>
  <si>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</si>
  <si>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</si>
  <si>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</si>
  <si>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</si>
  <si>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</si>
  <si>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</si>
  <si>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</si>
  <si>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</si>
  <si>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</si>
  <si>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</si>
  <si>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</si>
  <si>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</si>
  <si>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</si>
  <si>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</si>
  <si>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</si>
  <si>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</si>
  <si>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</si>
  <si>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</si>
  <si>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</si>
  <si>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</si>
  <si>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</si>
  <si>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</si>
  <si>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</si>
  <si>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</si>
  <si>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</si>
  <si>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</si>
  <si>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</si>
  <si>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</si>
  <si>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</si>
  <si>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</si>
  <si>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</si>
  <si>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</si>
  <si>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</si>
  <si>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</si>
  <si>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</si>
  <si>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</si>
  <si>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</si>
  <si>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</si>
  <si>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</si>
  <si>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</si>
  <si>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</si>
  <si>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</si>
  <si>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</si>
  <si>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</si>
  <si>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</si>
  <si>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</si>
  <si>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</si>
  <si>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</si>
  <si>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</si>
  <si>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</si>
  <si>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</si>
  <si>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</si>
  <si>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</si>
  <si>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</si>
  <si>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</si>
  <si>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</si>
  <si>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</si>
  <si>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</si>
  <si>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</si>
  <si>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</si>
  <si>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</si>
  <si>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</si>
  <si>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</si>
  <si>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</si>
  <si>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</si>
  <si>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</si>
  <si>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</si>
  <si>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</si>
  <si>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</si>
  <si>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</si>
  <si>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</si>
  <si>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</si>
  <si>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</si>
  <si>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</si>
  <si>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</si>
  <si>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</si>
  <si>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</si>
  <si>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</si>
  <si>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</si>
  <si>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</si>
  <si>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</si>
  <si>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</si>
  <si>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</si>
  <si>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</si>
  <si>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</si>
  <si>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</si>
  <si>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</si>
  <si>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</si>
  <si>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</si>
  <si>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</si>
  <si>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</si>
  <si>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</si>
  <si>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</si>
  <si>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</si>
  <si>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</si>
  <si>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</si>
  <si>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</si>
  <si>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</si>
  <si>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</si>
  <si>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</si>
  <si>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</si>
  <si>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</si>
  <si>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</si>
  <si>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</si>
  <si>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</si>
  <si>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</si>
  <si>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</si>
  <si>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</si>
  <si>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</si>
  <si>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</si>
  <si>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</si>
  <si>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</si>
  <si>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</si>
  <si>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</si>
  <si>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</si>
  <si>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</si>
  <si>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</si>
  <si>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</si>
  <si>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</si>
  <si>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</si>
  <si>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</si>
  <si>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</si>
  <si>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</si>
  <si>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</si>
  <si>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</si>
  <si>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</si>
  <si>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</si>
  <si>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</si>
  <si>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</si>
  <si>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</si>
  <si>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</si>
  <si>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</si>
  <si>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</si>
  <si>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</si>
  <si>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</si>
  <si>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</si>
  <si>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</si>
  <si>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</si>
  <si>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</si>
  <si>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</si>
  <si>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</si>
  <si>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</si>
  <si>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</si>
  <si>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</si>
  <si>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</si>
  <si>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</si>
  <si>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</si>
  <si>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</si>
  <si>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</si>
  <si>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</si>
  <si>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</si>
  <si>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</si>
  <si>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</si>
  <si>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</si>
  <si>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</si>
  <si>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</si>
  <si>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</si>
  <si>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</si>
  <si>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</si>
  <si>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</si>
  <si>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</si>
  <si>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</si>
  <si>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</si>
  <si>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</si>
  <si>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</si>
  <si>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</si>
  <si>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</si>
  <si>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</si>
  <si>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</si>
  <si>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</si>
  <si>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</si>
  <si>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</si>
  <si>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</si>
  <si>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</si>
  <si>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</si>
  <si>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</si>
  <si>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</si>
  <si>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</si>
  <si>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</si>
  <si>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</si>
  <si>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</si>
  <si>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</si>
  <si>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</si>
  <si>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</si>
  <si>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</si>
  <si>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</si>
  <si>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</si>
  <si>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</si>
  <si>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</si>
  <si>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</si>
  <si>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</si>
  <si>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</si>
  <si>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</si>
  <si>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</si>
  <si>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</si>
  <si>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</si>
  <si>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</si>
  <si>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</si>
  <si>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</si>
  <si>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</si>
  <si>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</si>
  <si>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</si>
  <si>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</si>
  <si>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</si>
  <si>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</si>
  <si>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</si>
  <si>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</si>
  <si>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</si>
  <si>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</si>
  <si>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</si>
  <si>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</si>
  <si>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</si>
  <si>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</si>
  <si>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</si>
  <si>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</si>
  <si>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</si>
  <si>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</si>
  <si>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</si>
  <si>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</si>
  <si>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</si>
  <si>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</si>
  <si>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</si>
  <si>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</si>
  <si>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</si>
  <si>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</si>
  <si>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</si>
  <si>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</si>
  <si>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</si>
  <si>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</si>
  <si>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</si>
  <si>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</si>
  <si>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</si>
  <si>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</si>
  <si>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</si>
  <si>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</si>
  <si>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</si>
  <si>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</si>
  <si>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</si>
  <si>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</si>
  <si>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</si>
  <si>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</si>
  <si>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</si>
  <si>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</si>
  <si>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</si>
  <si>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</si>
  <si>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</si>
  <si>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</si>
  <si>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</si>
  <si>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</si>
  <si>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</si>
  <si>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</si>
  <si>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</si>
  <si>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</si>
  <si>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</si>
  <si>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</si>
  <si>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</si>
  <si>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</si>
  <si>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</si>
  <si>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</si>
  <si>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</si>
  <si>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</si>
  <si>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</si>
  <si>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</si>
  <si>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</si>
  <si>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</si>
  <si>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</si>
  <si>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</si>
  <si>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</si>
  <si>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</si>
  <si>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</si>
  <si>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</si>
  <si>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</si>
  <si>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</si>
  <si>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</si>
  <si>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</si>
  <si>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</si>
  <si>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</si>
  <si>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</si>
  <si>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</si>
  <si>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</si>
  <si>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</si>
  <si>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</si>
  <si>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</si>
  <si>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</si>
  <si>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</si>
  <si>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</si>
  <si>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</si>
  <si>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</si>
  <si>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</si>
  <si>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</si>
  <si>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</si>
  <si>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</si>
  <si>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</si>
  <si>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</si>
  <si>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</si>
  <si>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</si>
  <si>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</si>
  <si>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</si>
  <si>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</si>
  <si>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</si>
  <si>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</si>
  <si>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</si>
  <si>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</si>
  <si>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</si>
  <si>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</si>
  <si>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</si>
  <si>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</si>
  <si>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</si>
  <si>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</si>
  <si>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</si>
  <si>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</si>
  <si>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</si>
  <si>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</si>
  <si>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</si>
  <si>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</si>
  <si>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</si>
  <si>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</si>
  <si>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</si>
  <si>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</si>
  <si>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</si>
  <si>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</si>
  <si>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</si>
  <si>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</si>
  <si>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</si>
  <si>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</si>
  <si>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</si>
  <si>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</si>
  <si>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</si>
  <si>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</si>
  <si>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</si>
  <si>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</si>
  <si>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</si>
  <si>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</si>
  <si>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</si>
  <si>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</si>
  <si>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</si>
  <si>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</si>
  <si>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</si>
  <si>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</si>
  <si>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</si>
  <si>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</si>
  <si>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</si>
  <si>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</si>
  <si>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</si>
  <si>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</si>
  <si>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</si>
  <si>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</si>
  <si>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</si>
  <si>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</si>
  <si>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</si>
  <si>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</si>
  <si>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</si>
  <si>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</si>
  <si>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</si>
  <si>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</si>
  <si>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</si>
  <si>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</si>
  <si>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</si>
  <si>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</si>
  <si>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</si>
  <si>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</si>
  <si>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</si>
  <si>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</si>
  <si>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</si>
  <si>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</si>
  <si>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</si>
  <si>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</si>
  <si>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</si>
  <si>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</si>
  <si>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</si>
  <si>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</si>
  <si>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</si>
  <si>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</si>
  <si>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</si>
  <si>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</si>
  <si>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</si>
  <si>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</si>
  <si>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</si>
  <si>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</si>
  <si>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</si>
  <si>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</si>
  <si>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</si>
  <si>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</si>
  <si>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</si>
  <si>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</si>
  <si>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</si>
  <si>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</si>
  <si>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</si>
  <si>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</si>
  <si>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</si>
  <si>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</si>
  <si>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</si>
  <si>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</si>
  <si>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</si>
  <si>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</si>
  <si>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</si>
  <si>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</si>
  <si>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</si>
  <si>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</si>
  <si>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</si>
  <si>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</si>
  <si>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</si>
  <si>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</si>
  <si>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</si>
  <si>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</si>
  <si>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</si>
  <si>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</si>
  <si>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</si>
  <si>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</si>
  <si>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</si>
  <si>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</si>
  <si>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</si>
  <si>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</si>
  <si>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</si>
  <si>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</si>
  <si>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</si>
  <si>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</si>
  <si>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</si>
  <si>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</si>
  <si>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</si>
  <si>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</si>
  <si>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</si>
  <si>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</si>
  <si>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</si>
  <si>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</si>
  <si>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</si>
  <si>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</si>
  <si>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</si>
  <si>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</si>
  <si>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</si>
  <si>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</si>
  <si>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</si>
  <si>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</si>
  <si>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</si>
  <si>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</si>
  <si>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</si>
  <si>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</si>
  <si>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</si>
  <si>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</si>
  <si>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</si>
  <si>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</si>
  <si>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</si>
  <si>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</si>
  <si>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</si>
  <si>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</si>
  <si>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</si>
  <si>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</si>
  <si>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</si>
  <si>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</si>
  <si>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</si>
  <si>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</si>
  <si>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</si>
  <si>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</si>
  <si>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</si>
  <si>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</si>
  <si>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</si>
  <si>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</si>
  <si>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</si>
  <si>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</si>
  <si>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</si>
  <si>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</si>
  <si>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</si>
  <si>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</si>
  <si>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</si>
  <si>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</si>
  <si>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</si>
  <si>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</si>
  <si>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</si>
  <si>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</si>
  <si>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</si>
  <si>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</si>
  <si>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</si>
  <si>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</si>
  <si>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</si>
  <si>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</si>
  <si>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</si>
  <si>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</si>
  <si>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</si>
  <si>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</si>
  <si>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</si>
  <si>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</si>
  <si>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</si>
  <si>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</si>
  <si>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</si>
  <si>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</si>
  <si>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</si>
  <si>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</si>
  <si>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</si>
  <si>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</si>
  <si>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</si>
  <si>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</si>
  <si>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</si>
  <si>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</si>
  <si>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</si>
  <si>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</si>
  <si>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</si>
  <si>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</si>
  <si>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</si>
  <si>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</si>
  <si>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</si>
  <si>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</si>
  <si>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</si>
  <si>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</si>
  <si>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</si>
  <si>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</si>
  <si>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</si>
  <si>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</si>
  <si>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</si>
  <si>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</si>
  <si>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</si>
  <si>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</si>
  <si>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</si>
  <si>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</si>
  <si>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</si>
  <si>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</si>
  <si>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</si>
  <si>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</si>
  <si>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</si>
  <si>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</si>
  <si>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</si>
  <si>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</si>
  <si>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</si>
  <si>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</si>
  <si>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</si>
  <si>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</si>
  <si>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</si>
  <si>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</si>
  <si>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</si>
  <si>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</si>
  <si>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</si>
  <si>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</si>
  <si>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</si>
  <si>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</si>
  <si>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</si>
  <si>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</si>
  <si>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</si>
  <si>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</si>
  <si>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</si>
  <si>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</si>
  <si>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</si>
  <si>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</si>
  <si>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</si>
  <si>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</si>
  <si>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</si>
  <si>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</si>
  <si>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</si>
  <si>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</si>
  <si>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</si>
  <si>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</si>
  <si>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</si>
  <si>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</si>
  <si>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</si>
  <si>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</si>
  <si>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</si>
  <si>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</si>
  <si>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</si>
  <si>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</si>
  <si>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</si>
  <si>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</si>
  <si>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</si>
  <si>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</si>
  <si>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</si>
  <si>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</si>
  <si>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</si>
  <si>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</si>
  <si>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</si>
  <si>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</si>
  <si>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</si>
  <si>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</si>
  <si>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</si>
  <si>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</si>
  <si>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</si>
  <si>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</si>
  <si>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</si>
  <si>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</si>
  <si>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</si>
  <si>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</si>
  <si>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</si>
  <si>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</si>
  <si>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</si>
  <si>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</si>
  <si>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</si>
  <si>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</si>
  <si>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</si>
  <si>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</si>
  <si>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</si>
  <si>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</si>
  <si>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</si>
  <si>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</si>
  <si>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</si>
  <si>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</si>
  <si>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</si>
  <si>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</si>
  <si>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</si>
  <si>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</si>
  <si>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</si>
  <si>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</si>
  <si>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</si>
  <si>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</si>
  <si>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</si>
  <si>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</si>
  <si>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</si>
  <si>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</si>
  <si>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</si>
  <si>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</si>
  <si>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</si>
  <si>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</si>
  <si>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</si>
  <si>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</si>
  <si>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</si>
  <si>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</si>
  <si>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</si>
  <si>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</si>
  <si>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</si>
  <si>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</si>
  <si>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</si>
  <si>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</si>
  <si>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</si>
  <si>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</si>
  <si>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</si>
  <si>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</si>
  <si>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</si>
  <si>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</si>
  <si>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</si>
  <si>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</si>
  <si>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</si>
  <si>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</si>
  <si>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</si>
  <si>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</si>
  <si>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</si>
  <si>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</si>
  <si>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</si>
  <si>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</si>
  <si>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</si>
  <si>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</si>
  <si>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</si>
  <si>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</si>
  <si>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</si>
  <si>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</si>
  <si>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</si>
  <si>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</si>
  <si>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</si>
  <si>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</si>
  <si>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</si>
  <si>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</si>
  <si>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</si>
  <si>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</si>
  <si>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</si>
  <si>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</si>
  <si>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</si>
  <si>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</si>
  <si>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</si>
  <si>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</si>
  <si>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</si>
  <si>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</si>
  <si>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</si>
  <si>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</si>
  <si>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</si>
  <si>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</si>
  <si>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</si>
  <si>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</si>
  <si>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</si>
  <si>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</si>
  <si>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</si>
  <si>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</si>
  <si>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</si>
  <si>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</si>
  <si>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</si>
  <si>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</si>
  <si>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</si>
  <si>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</si>
  <si>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</si>
  <si>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</si>
  <si>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</si>
  <si>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</si>
  <si>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</si>
  <si>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</si>
  <si>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</si>
  <si>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</si>
  <si>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</si>
  <si>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</si>
  <si>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</si>
  <si>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</si>
  <si>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</si>
  <si>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</si>
  <si>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</si>
  <si>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</si>
  <si>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</si>
  <si>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</si>
  <si>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</si>
  <si>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</si>
  <si>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</si>
  <si>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</si>
  <si>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</si>
  <si>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</si>
  <si>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</si>
  <si>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</si>
  <si>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</si>
  <si>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</si>
  <si>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</si>
  <si>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</si>
  <si>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</si>
  <si>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</si>
  <si>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</si>
  <si>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</si>
  <si>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</si>
  <si>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</si>
  <si>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</si>
  <si>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</si>
  <si>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</si>
  <si>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</si>
  <si>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</si>
  <si>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</si>
  <si>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</si>
  <si>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</si>
  <si>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</si>
  <si>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</si>
  <si>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</si>
  <si>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</si>
  <si>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</si>
  <si>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</si>
  <si>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</si>
  <si>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</si>
  <si>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</si>
  <si>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</si>
  <si>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</si>
  <si>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</si>
  <si>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</si>
  <si>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</si>
  <si>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</si>
  <si>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</si>
  <si>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</si>
  <si>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</si>
  <si>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</si>
  <si>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</si>
  <si>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</si>
  <si>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</si>
  <si>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</si>
  <si>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</si>
  <si>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</si>
  <si>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</si>
  <si>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</si>
  <si>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</si>
  <si>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</si>
  <si>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</si>
  <si>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</si>
  <si>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</si>
  <si>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</si>
  <si>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</si>
  <si>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</si>
  <si>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</si>
  <si>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</si>
  <si>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</si>
  <si>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</si>
  <si>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</si>
  <si>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</si>
  <si>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</si>
  <si>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</si>
  <si>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</si>
  <si>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</si>
  <si>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</si>
  <si>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</si>
  <si>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</si>
  <si>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</si>
  <si>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</si>
  <si>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</si>
  <si>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</si>
  <si>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</si>
  <si>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</si>
  <si>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</si>
  <si>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</si>
  <si>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</si>
  <si>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</si>
  <si>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</si>
  <si>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</si>
  <si>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</si>
  <si>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</si>
  <si>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</si>
  <si>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</si>
  <si>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</si>
  <si>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</si>
  <si>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</si>
  <si>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</si>
  <si>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</si>
  <si>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</si>
  <si>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</si>
  <si>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</si>
  <si>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</si>
  <si>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</si>
  <si>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</si>
  <si>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</si>
  <si>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</si>
  <si>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</si>
  <si>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</si>
  <si>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</si>
  <si>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</si>
  <si>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</si>
  <si>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</si>
  <si>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</si>
  <si>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</si>
  <si>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</si>
  <si>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</si>
  <si>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</si>
  <si>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</si>
  <si>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</si>
  <si>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</si>
  <si>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</si>
  <si>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</si>
  <si>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</si>
  <si>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</si>
  <si>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</si>
  <si>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</si>
  <si>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</si>
  <si>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</si>
  <si>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</si>
  <si>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</si>
  <si>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</si>
  <si>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</si>
  <si>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</si>
  <si>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</si>
  <si>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</si>
  <si>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</si>
  <si>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</si>
  <si>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</si>
  <si>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</si>
  <si>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</si>
  <si>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</si>
  <si>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</si>
  <si>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</si>
  <si>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</si>
  <si>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</si>
  <si>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</si>
  <si>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</si>
  <si>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</si>
  <si>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</si>
  <si>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</si>
  <si>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</si>
  <si>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</si>
  <si>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</si>
  <si>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</si>
  <si>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</si>
  <si>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</si>
  <si>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</si>
  <si>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</si>
  <si>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</si>
  <si>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</si>
  <si>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</si>
  <si>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</si>
  <si>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</si>
  <si>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</si>
  <si>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</si>
  <si>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</si>
  <si>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</si>
  <si>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</si>
  <si>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</si>
  <si>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</si>
  <si>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</si>
  <si>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</si>
  <si>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</si>
  <si>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</si>
  <si>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</si>
  <si>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</si>
  <si>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</si>
  <si>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</si>
  <si>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</si>
  <si>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</si>
  <si>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</si>
  <si>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</si>
  <si>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</si>
  <si>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</si>
  <si>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</si>
  <si>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</si>
  <si>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</si>
  <si>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</si>
  <si>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</si>
  <si>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</si>
  <si>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</si>
  <si>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</si>
  <si>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</si>
  <si>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</si>
  <si>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</si>
  <si>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</si>
  <si>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</si>
  <si>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</si>
  <si>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</si>
  <si>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</si>
  <si>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</si>
  <si>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</si>
  <si>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</si>
  <si>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</si>
  <si>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</si>
  <si>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</si>
  <si>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</si>
  <si>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</si>
  <si>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</si>
  <si>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</si>
  <si>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</si>
  <si>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</si>
  <si>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</si>
  <si>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</si>
  <si>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</si>
  <si>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</si>
  <si>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</si>
  <si>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</si>
  <si>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</si>
  <si>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</si>
  <si>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</si>
  <si>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</si>
  <si>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</si>
  <si>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</si>
  <si>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</si>
  <si>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</si>
  <si>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</si>
  <si>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</si>
  <si>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</si>
  <si>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</si>
  <si>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</si>
  <si>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</si>
  <si>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</si>
  <si>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</si>
  <si>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</si>
  <si>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</si>
  <si>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</si>
  <si>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</si>
  <si>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</si>
  <si>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</si>
  <si>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</si>
  <si>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</si>
  <si>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</si>
  <si>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</si>
  <si>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</si>
  <si>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</si>
  <si>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</si>
  <si>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</si>
  <si>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</si>
  <si>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</si>
  <si>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</si>
  <si>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</si>
  <si>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</si>
  <si>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</si>
  <si>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</si>
  <si>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</si>
  <si>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</si>
  <si>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</si>
  <si>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</si>
  <si>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</si>
  <si>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</si>
  <si>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</si>
  <si>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</si>
  <si>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</si>
  <si>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</si>
  <si>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</si>
  <si>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</si>
  <si>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</si>
  <si>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</si>
  <si>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</si>
  <si>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</si>
  <si>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</si>
  <si>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</si>
  <si>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</si>
  <si>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</si>
  <si>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</si>
  <si>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</si>
  <si>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</si>
  <si>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</si>
  <si>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</si>
  <si>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</si>
  <si>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</si>
  <si>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</si>
  <si>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</si>
  <si>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</si>
  <si>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</si>
  <si>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</si>
  <si>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</si>
  <si>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</si>
  <si>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</si>
  <si>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</si>
  <si>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</si>
  <si>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</si>
  <si>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</si>
  <si>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</si>
  <si>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</si>
  <si>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</si>
  <si>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</si>
  <si>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</si>
  <si>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</si>
  <si>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</si>
  <si>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</si>
  <si>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</si>
  <si>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</si>
  <si>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</si>
  <si>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</si>
  <si>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</si>
  <si>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</si>
  <si>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</si>
  <si>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</si>
  <si>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</si>
  <si>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</si>
  <si>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</si>
  <si>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</si>
  <si>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</si>
  <si>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</si>
  <si>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</si>
  <si>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</si>
  <si>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</si>
  <si>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</si>
  <si>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</si>
  <si>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</si>
  <si>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</si>
  <si>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</si>
  <si>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</si>
  <si>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</si>
  <si>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</si>
  <si>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</si>
  <si>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</si>
  <si>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</si>
  <si>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</si>
  <si>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</si>
  <si>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</si>
  <si>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</si>
  <si>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</si>
  <si>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</si>
  <si>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</si>
  <si>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</si>
  <si>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</si>
  <si>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</si>
  <si>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</si>
  <si>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</si>
  <si>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</si>
  <si>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</si>
  <si>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</si>
  <si>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</si>
  <si>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</si>
  <si>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</si>
  <si>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</si>
  <si>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</si>
  <si>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</si>
  <si>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</si>
  <si>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</si>
  <si>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</si>
  <si>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</si>
  <si>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</si>
  <si>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</si>
  <si>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</si>
  <si>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</si>
  <si>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</si>
  <si>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</si>
  <si>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</si>
  <si>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</si>
  <si>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</si>
  <si>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</si>
  <si>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</si>
  <si>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</si>
  <si>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</si>
  <si>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</si>
  <si>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</si>
  <si>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</si>
  <si>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</si>
  <si>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</si>
  <si>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</si>
  <si>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</si>
  <si>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</si>
  <si>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</si>
  <si>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</si>
  <si>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</si>
  <si>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</si>
  <si>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</si>
  <si>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</si>
  <si>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</si>
  <si>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</si>
  <si>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</si>
  <si>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</si>
  <si>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</si>
  <si>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</si>
  <si>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</si>
  <si>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</si>
  <si>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</si>
  <si>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</si>
  <si>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</si>
  <si>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</si>
  <si>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</si>
  <si>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</si>
  <si>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</si>
  <si>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</si>
  <si>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</si>
  <si>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</si>
  <si>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</si>
  <si>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</si>
  <si>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</si>
  <si>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</si>
  <si>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</si>
  <si>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</si>
  <si>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</si>
  <si>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</si>
  <si>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</si>
  <si>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</si>
  <si>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</si>
  <si>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</si>
  <si>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</si>
  <si>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</si>
  <si>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</si>
  <si>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</si>
  <si>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</si>
  <si>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</si>
  <si>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</si>
  <si>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</si>
  <si>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</si>
  <si>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</si>
  <si>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</si>
  <si>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</si>
  <si>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</si>
  <si>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</si>
  <si>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</si>
  <si>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</si>
  <si>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</si>
  <si>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</si>
  <si>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</si>
  <si>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</si>
  <si>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</si>
  <si>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</si>
  <si>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</si>
  <si>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</si>
  <si>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</si>
  <si>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</si>
  <si>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</si>
  <si>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</si>
  <si>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</si>
  <si>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</si>
  <si>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</si>
  <si>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</si>
  <si>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</si>
  <si>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</si>
  <si>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</si>
  <si>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</si>
  <si>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</si>
  <si>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</si>
  <si>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</si>
  <si>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</si>
  <si>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</si>
  <si>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</si>
  <si>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</si>
  <si>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</si>
  <si>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</si>
  <si>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</si>
  <si>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</si>
  <si>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</si>
  <si>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</si>
  <si>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</si>
  <si>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</si>
  <si>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</si>
  <si>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</si>
  <si>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</si>
  <si>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</si>
  <si>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</si>
  <si>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</si>
  <si>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</si>
  <si>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</si>
  <si>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</si>
  <si>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</si>
  <si>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</si>
  <si>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</si>
  <si>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</si>
  <si>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</si>
  <si>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</si>
  <si>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</si>
  <si>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</si>
  <si>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</si>
  <si>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</si>
  <si>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</si>
  <si>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</si>
  <si>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</si>
  <si>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</si>
  <si>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</si>
  <si>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</si>
  <si>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</si>
  <si>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</si>
  <si>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</si>
  <si>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</si>
  <si>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</si>
  <si>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</si>
  <si>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</si>
  <si>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</si>
  <si>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</si>
  <si>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</si>
  <si>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</si>
  <si>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</si>
  <si>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</si>
  <si>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</si>
  <si>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</si>
  <si>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</si>
  <si>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</si>
  <si>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</si>
  <si>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</si>
  <si>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</si>
  <si>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</si>
  <si>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</si>
  <si>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</si>
  <si>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</si>
  <si>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</si>
  <si>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</si>
  <si>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</si>
  <si>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</si>
  <si>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</si>
  <si>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</si>
  <si>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</si>
  <si>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</si>
  <si>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</si>
  <si>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</si>
  <si>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</si>
  <si>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</si>
  <si>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</si>
  <si>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</si>
  <si>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</si>
  <si>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</si>
  <si>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</si>
  <si>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</si>
  <si>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</si>
  <si>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</si>
  <si>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</si>
  <si>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</si>
  <si>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</si>
  <si>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</si>
  <si>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</si>
  <si>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</si>
  <si>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</si>
  <si>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</si>
  <si>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</si>
  <si>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</si>
  <si>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</si>
  <si>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</si>
  <si>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</si>
  <si>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</si>
  <si>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</si>
  <si>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</si>
  <si>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</si>
  <si>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</si>
  <si>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</si>
  <si>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</si>
  <si>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</si>
  <si>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</si>
  <si>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</si>
  <si>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</si>
  <si>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</si>
  <si>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</si>
  <si>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</si>
  <si>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</si>
  <si>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</si>
  <si>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</si>
  <si>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</si>
  <si>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</si>
  <si>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</si>
  <si>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</si>
  <si>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</si>
  <si>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</si>
  <si>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</si>
  <si>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</si>
  <si>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</si>
  <si>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</si>
  <si>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</si>
  <si>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</si>
  <si>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</si>
  <si>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</si>
  <si>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</si>
  <si>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</si>
  <si>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</si>
  <si>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</si>
  <si>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</si>
  <si>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</si>
  <si>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</si>
  <si>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</si>
  <si>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</si>
  <si>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</si>
  <si>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</si>
  <si>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</si>
  <si>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</si>
  <si>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</si>
  <si>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</si>
  <si>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</si>
  <si>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</si>
  <si>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</si>
  <si>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</si>
  <si>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</si>
  <si>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</si>
  <si>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</si>
  <si>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</si>
  <si>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</si>
  <si>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</si>
  <si>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</si>
  <si>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</si>
  <si>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</si>
  <si>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</si>
  <si>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</si>
  <si>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</si>
  <si>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</si>
  <si>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</si>
  <si>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</si>
  <si>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</si>
  <si>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</si>
  <si>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</si>
  <si>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</si>
  <si>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</si>
  <si>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</si>
  <si>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</si>
  <si>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</si>
  <si>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</si>
  <si>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</si>
  <si>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</si>
  <si>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</si>
  <si>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</si>
  <si>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</si>
  <si>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</si>
  <si>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</si>
  <si>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</si>
  <si>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</si>
  <si>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</si>
  <si>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</si>
  <si>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</si>
  <si>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</si>
  <si>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</si>
  <si>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</si>
  <si>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</si>
  <si>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</si>
  <si>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</si>
  <si>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</si>
  <si>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</si>
  <si>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</si>
  <si>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</si>
  <si>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</si>
  <si>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</si>
  <si>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</si>
  <si>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</si>
  <si>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</si>
  <si>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</si>
  <si>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</si>
  <si>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</si>
  <si>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</si>
  <si>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</si>
  <si>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</si>
  <si>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</si>
  <si>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</si>
  <si>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</si>
  <si>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</si>
  <si>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</si>
  <si>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</si>
  <si>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</si>
  <si>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</si>
  <si>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</si>
  <si>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</si>
  <si>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</si>
  <si>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</si>
  <si>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</si>
  <si>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</si>
  <si>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</si>
  <si>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</si>
  <si>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</si>
  <si>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</si>
  <si>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</si>
  <si>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</si>
  <si>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</si>
  <si>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</si>
  <si>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</si>
  <si>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</si>
  <si>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</si>
  <si>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</si>
  <si>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</si>
  <si>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</si>
  <si>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</si>
  <si>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</si>
  <si>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</si>
  <si>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</si>
  <si>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</si>
  <si>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</si>
  <si>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</si>
  <si>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</si>
  <si>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</si>
  <si>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</si>
  <si>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</si>
  <si>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</si>
  <si>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</si>
  <si>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</si>
  <si>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</si>
  <si>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</si>
  <si>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</si>
  <si>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</si>
  <si>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</si>
  <si>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</si>
  <si>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</si>
  <si>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</si>
  <si>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</si>
  <si>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</si>
  <si>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</si>
  <si>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</si>
  <si>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</si>
  <si>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</si>
  <si>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</si>
  <si>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</si>
  <si>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</si>
  <si>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</si>
  <si>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</si>
  <si>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</si>
  <si>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</si>
  <si>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</si>
  <si>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</si>
  <si>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</si>
  <si>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</si>
  <si>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</si>
  <si>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</si>
  <si>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</si>
  <si>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</si>
  <si>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</si>
  <si>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</si>
  <si>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</si>
  <si>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</si>
  <si>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</si>
  <si>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</si>
  <si>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</si>
  <si>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</si>
  <si>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</si>
  <si>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</si>
  <si>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</si>
  <si>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</si>
  <si>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</si>
  <si>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</si>
  <si>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</si>
  <si>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</si>
  <si>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</si>
  <si>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</si>
  <si>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</si>
  <si>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</si>
  <si>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</si>
  <si>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</si>
  <si>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</si>
  <si>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</si>
  <si>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</si>
  <si>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</si>
  <si>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</si>
  <si>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</si>
  <si>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</si>
  <si>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</si>
  <si>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</si>
  <si>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</si>
  <si>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</si>
  <si>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</si>
  <si>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</si>
  <si>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</si>
  <si>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</si>
  <si>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</si>
  <si>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</si>
  <si>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</si>
  <si>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</si>
  <si>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</si>
  <si>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</si>
  <si>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</si>
  <si>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</si>
  <si>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</si>
  <si>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</si>
  <si>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</si>
  <si>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</si>
  <si>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</si>
  <si>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</si>
  <si>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</si>
  <si>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</si>
  <si>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</si>
  <si>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</si>
  <si>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</si>
  <si>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</si>
  <si>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</si>
  <si>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</si>
  <si>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</si>
  <si>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</si>
  <si>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</si>
  <si>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</si>
  <si>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</si>
  <si>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</si>
  <si>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</si>
  <si>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</si>
  <si>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</si>
  <si>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</si>
  <si>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</si>
  <si>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</si>
  <si>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</si>
  <si>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</si>
  <si>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</si>
  <si>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</si>
  <si>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</si>
  <si>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</si>
  <si>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</si>
  <si>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</si>
  <si>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</si>
  <si>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</si>
  <si>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</si>
  <si>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</si>
  <si>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</si>
  <si>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</si>
  <si>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</si>
  <si>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</si>
  <si>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</si>
  <si>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</si>
  <si>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</si>
  <si>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</si>
  <si>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</si>
  <si>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</si>
  <si>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</si>
  <si>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</si>
  <si>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</si>
  <si>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</si>
  <si>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</si>
  <si>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</si>
  <si>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</si>
  <si>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</si>
  <si>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</si>
  <si>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</si>
  <si>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</si>
  <si>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</si>
  <si>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</si>
  <si>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</si>
  <si>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</si>
  <si>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</si>
  <si>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</si>
  <si>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</si>
  <si>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</si>
  <si>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</si>
  <si>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</si>
  <si>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</si>
  <si>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</si>
  <si>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</si>
  <si>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</si>
  <si>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</si>
  <si>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</si>
  <si>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</si>
  <si>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</si>
  <si>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</si>
  <si>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</si>
  <si>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</si>
  <si>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</si>
  <si>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</si>
  <si>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</si>
  <si>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</si>
  <si>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</si>
  <si>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</si>
  <si>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</si>
  <si>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</si>
  <si>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</si>
  <si>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</si>
  <si>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</si>
  <si>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</si>
  <si>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</si>
  <si>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</si>
  <si>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</si>
  <si>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</si>
  <si>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</si>
  <si>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</si>
  <si>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</si>
  <si>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</si>
  <si>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</si>
  <si>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</si>
  <si>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</si>
  <si>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</si>
  <si>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</si>
  <si>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</si>
  <si>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</si>
  <si>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</si>
  <si>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</si>
  <si>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</si>
  <si>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</si>
  <si>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</si>
  <si>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</si>
  <si>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</si>
  <si>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</si>
  <si>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</si>
  <si>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</si>
  <si>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</si>
  <si>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</si>
  <si>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</si>
  <si>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</si>
  <si>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</si>
  <si>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</si>
  <si>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</si>
  <si>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</si>
  <si>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</si>
  <si>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</si>
  <si>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</si>
  <si>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</si>
  <si>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</si>
  <si>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</si>
  <si>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</si>
  <si>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</si>
  <si>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</si>
  <si>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</si>
  <si>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</si>
  <si>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</si>
  <si>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</si>
  <si>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</si>
  <si>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</si>
  <si>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</si>
  <si>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</si>
  <si>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</si>
  <si>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</si>
  <si>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</si>
  <si>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</si>
  <si>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</si>
  <si>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</si>
  <si>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</si>
  <si>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</si>
  <si>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</si>
  <si>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</si>
  <si>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</si>
  <si>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</si>
  <si>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</si>
  <si>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</si>
  <si>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</si>
  <si>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</si>
  <si>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</si>
  <si>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</si>
  <si>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</si>
  <si>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</si>
  <si>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</si>
  <si>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</si>
  <si>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</si>
  <si>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</si>
  <si>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</si>
  <si>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</si>
  <si>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</si>
  <si>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</si>
  <si>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</si>
  <si>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</si>
  <si>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</si>
  <si>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</si>
  <si>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</si>
  <si>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</si>
  <si>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</si>
  <si>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</si>
  <si>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</si>
  <si>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</si>
  <si>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</si>
  <si>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</si>
  <si>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</si>
  <si>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</si>
  <si>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</si>
  <si>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</si>
  <si>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</si>
  <si>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</si>
  <si>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</si>
  <si>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</si>
  <si>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</si>
  <si>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</si>
  <si>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</si>
  <si>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</si>
  <si>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</si>
  <si>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</si>
  <si>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</si>
  <si>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</si>
  <si>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</si>
  <si>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</si>
  <si>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</si>
  <si>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</si>
  <si>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</si>
  <si>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</si>
  <si>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</si>
  <si>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</si>
  <si>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</si>
  <si>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</si>
  <si>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</si>
  <si>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</si>
  <si>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</si>
  <si>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</si>
  <si>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</si>
  <si>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</si>
  <si>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</si>
  <si>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</si>
  <si>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</si>
  <si>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</si>
  <si>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</si>
  <si>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</si>
  <si>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</si>
  <si>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</si>
  <si>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</si>
  <si>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</si>
  <si>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</si>
  <si>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</si>
  <si>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</si>
  <si>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</si>
  <si>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</si>
  <si>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</si>
  <si>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</si>
  <si>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</si>
  <si>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</si>
  <si>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</si>
  <si>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</si>
  <si>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</si>
  <si>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</si>
  <si>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</si>
  <si>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</si>
  <si>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</si>
  <si>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</si>
  <si>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</si>
  <si>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</si>
  <si>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</si>
  <si>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</si>
  <si>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</si>
  <si>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</si>
  <si>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</si>
  <si>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</si>
  <si>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</si>
  <si>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</si>
  <si>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</si>
  <si>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</si>
  <si>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</si>
  <si>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</si>
  <si>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</si>
  <si>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</si>
  <si>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</si>
  <si>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</si>
  <si>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</si>
  <si>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</si>
  <si>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</si>
  <si>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</si>
  <si>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</si>
  <si>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</si>
  <si>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</si>
  <si>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</si>
  <si>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</si>
  <si>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</si>
  <si>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</si>
  <si>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</si>
  <si>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</si>
  <si>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</si>
  <si>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</si>
  <si>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</si>
  <si>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</si>
  <si>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</si>
  <si>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</si>
  <si>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</si>
  <si>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</si>
  <si>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</si>
  <si>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</si>
  <si>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</si>
  <si>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</si>
  <si>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</si>
  <si>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</si>
  <si>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</si>
  <si>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</si>
  <si>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</si>
  <si>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</si>
  <si>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</si>
  <si>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</si>
  <si>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</si>
  <si>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</si>
  <si>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</si>
  <si>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</si>
  <si>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</si>
  <si>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</si>
  <si>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</si>
  <si>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</si>
  <si>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</si>
  <si>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</si>
  <si>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</si>
  <si>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</si>
  <si>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</si>
  <si>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</si>
  <si>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</si>
  <si>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</si>
  <si>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</si>
  <si>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</si>
  <si>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</si>
  <si>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</si>
  <si>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</si>
  <si>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</si>
  <si>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</si>
  <si>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</si>
  <si>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</si>
  <si>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</si>
  <si>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</si>
  <si>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</si>
  <si>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</si>
  <si>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</si>
  <si>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</si>
  <si>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</si>
  <si>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</si>
  <si>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</si>
  <si>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</si>
  <si>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</si>
  <si>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</si>
  <si>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</si>
  <si>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</si>
  <si>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</si>
  <si>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</si>
  <si>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</si>
  <si>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</si>
  <si>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</si>
  <si>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</si>
  <si>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</si>
  <si>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</si>
  <si>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</si>
  <si>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</si>
  <si>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</si>
  <si>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</si>
  <si>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</si>
  <si>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</si>
  <si>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</si>
  <si>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</si>
  <si>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</si>
  <si>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</si>
  <si>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</si>
  <si>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</si>
  <si>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</si>
  <si>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</si>
  <si>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</si>
  <si>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</si>
  <si>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</si>
  <si>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</si>
  <si>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</si>
  <si>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</si>
  <si>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</si>
  <si>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</si>
  <si>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</si>
  <si>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</si>
  <si>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</si>
  <si>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</si>
  <si>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</si>
  <si>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</si>
  <si>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</si>
  <si>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</si>
  <si>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</si>
  <si>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</si>
  <si>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</si>
  <si>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</si>
  <si>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</si>
  <si>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</si>
  <si>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</si>
  <si>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</si>
  <si>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</si>
  <si>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</si>
  <si>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</si>
  <si>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</si>
  <si>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</si>
  <si>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</si>
  <si>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</si>
  <si>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</si>
  <si>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</si>
  <si>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</si>
  <si>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</si>
  <si>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</si>
  <si>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</si>
  <si>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</si>
  <si>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</si>
  <si>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</si>
  <si>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</si>
  <si>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</si>
  <si>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</si>
  <si>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</si>
  <si>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</si>
  <si>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</si>
  <si>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</si>
  <si>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</si>
  <si>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</si>
  <si>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</si>
  <si>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</si>
  <si>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</si>
  <si>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</si>
  <si>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</si>
  <si>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</si>
  <si>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</si>
  <si>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</si>
  <si>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</si>
  <si>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</si>
  <si>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</si>
  <si>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</si>
  <si>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</si>
  <si>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</si>
  <si>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</si>
  <si>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</si>
  <si>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</si>
  <si>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</si>
  <si>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</si>
  <si>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</si>
  <si>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</si>
  <si>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</si>
  <si>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</si>
  <si>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</si>
  <si>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</si>
  <si>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</si>
  <si>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</si>
  <si>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</si>
  <si>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</si>
  <si>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</si>
  <si>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</si>
  <si>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</si>
  <si>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</si>
  <si>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</si>
  <si>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</si>
  <si>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</si>
  <si>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</si>
  <si>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</si>
  <si>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</si>
  <si>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</si>
  <si>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</si>
  <si>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</si>
  <si>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</si>
  <si>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</si>
  <si>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</si>
  <si>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</si>
  <si>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</si>
  <si>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</si>
  <si>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</si>
  <si>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</si>
  <si>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</si>
  <si>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</si>
  <si>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</si>
  <si>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</si>
  <si>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</si>
  <si>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</si>
  <si>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</si>
  <si>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</si>
  <si>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</si>
  <si>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</si>
  <si>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</si>
  <si>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</si>
  <si>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</si>
  <si>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</si>
  <si>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</si>
  <si>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</si>
  <si>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</si>
  <si>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</si>
  <si>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</si>
  <si>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</si>
  <si>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</si>
  <si>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</si>
  <si>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</si>
  <si>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</si>
  <si>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</si>
  <si>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</si>
  <si>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</si>
  <si>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</si>
  <si>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</si>
  <si>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</si>
  <si>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</si>
  <si>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</si>
  <si>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</si>
  <si>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</si>
  <si>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</si>
  <si>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</si>
  <si>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</si>
  <si>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</si>
  <si>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</si>
  <si>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</si>
  <si>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</si>
  <si>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</si>
  <si>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</si>
  <si>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</si>
  <si>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</si>
  <si>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</si>
  <si>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</si>
  <si>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</si>
  <si>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</si>
  <si>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</si>
  <si>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</si>
  <si>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</si>
  <si>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</si>
  <si>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</si>
  <si>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</si>
  <si>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</si>
  <si>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</si>
  <si>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</si>
  <si>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</si>
  <si>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</si>
  <si>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</si>
  <si>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</si>
  <si>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</si>
  <si>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</si>
  <si>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</si>
  <si>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</si>
  <si>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</si>
  <si>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</si>
  <si>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</si>
  <si>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</si>
  <si>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</si>
  <si>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</si>
  <si>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</si>
  <si>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</si>
  <si>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</si>
  <si>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</si>
  <si>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</si>
  <si>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</si>
  <si>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</si>
  <si>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</si>
  <si>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</si>
  <si>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</si>
  <si>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</si>
  <si>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</si>
  <si>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</si>
  <si>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</si>
  <si>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</si>
  <si>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</si>
  <si>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</si>
  <si>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</si>
  <si>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</si>
  <si>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</si>
  <si>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</si>
  <si>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</si>
  <si>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</si>
  <si>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</si>
  <si>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</si>
  <si>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</si>
  <si>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</si>
  <si>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</si>
  <si>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</si>
  <si>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</si>
  <si>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</si>
  <si>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</si>
  <si>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</si>
  <si>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</si>
  <si>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</si>
  <si>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</si>
  <si>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</si>
  <si>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</si>
  <si>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</si>
  <si>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</si>
  <si>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</si>
  <si>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</si>
  <si>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</si>
  <si>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</si>
  <si>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</si>
  <si>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</si>
  <si>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</si>
  <si>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</si>
  <si>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</si>
  <si>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</si>
  <si>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</si>
  <si>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</si>
  <si>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</si>
  <si>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</si>
  <si>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</si>
  <si>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</si>
  <si>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</si>
  <si>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</si>
  <si>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</si>
  <si>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</si>
  <si>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</si>
  <si>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</si>
  <si>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</si>
  <si>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</si>
  <si>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</si>
  <si>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</si>
  <si>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</si>
  <si>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</si>
  <si>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</si>
  <si>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</si>
  <si>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</si>
  <si>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</si>
  <si>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</si>
  <si>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</si>
  <si>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</si>
  <si>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</si>
  <si>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</si>
  <si>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</si>
  <si>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</si>
  <si>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</si>
  <si>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</si>
  <si>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</si>
  <si>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</si>
  <si>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</si>
  <si>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</si>
  <si>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</si>
  <si>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</si>
  <si>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</si>
  <si>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</si>
  <si>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</si>
  <si>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</si>
  <si>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</si>
  <si>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</si>
  <si>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</si>
  <si>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</si>
  <si>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</si>
  <si>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</si>
  <si>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</si>
  <si>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</si>
  <si>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</si>
  <si>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</si>
  <si>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</si>
  <si>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</si>
  <si>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</si>
  <si>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</si>
  <si>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</si>
  <si>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</si>
  <si>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</si>
  <si>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</si>
  <si>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</si>
  <si>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</si>
  <si>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</si>
  <si>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</si>
  <si>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</si>
  <si>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</si>
  <si>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</si>
  <si>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</si>
  <si>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</si>
  <si>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</si>
  <si>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</si>
  <si>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</si>
  <si>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</si>
  <si>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</si>
  <si>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</si>
  <si>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</si>
  <si>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</si>
  <si>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</si>
  <si>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</si>
  <si>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</si>
  <si>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</si>
  <si>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</si>
  <si>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</si>
  <si>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</si>
  <si>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</si>
  <si>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</si>
  <si>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</si>
  <si>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</si>
  <si>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</si>
  <si>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</si>
  <si>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</si>
  <si>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</si>
  <si>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</si>
  <si>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</si>
  <si>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</si>
  <si>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</si>
  <si>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</si>
  <si>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</si>
  <si>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</si>
  <si>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</si>
  <si>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</si>
  <si>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</si>
  <si>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</si>
  <si>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</si>
  <si>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</si>
  <si>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</si>
  <si>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</si>
  <si>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</si>
  <si>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</si>
  <si>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</si>
  <si>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</si>
  <si>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</si>
  <si>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</si>
  <si>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</si>
  <si>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</si>
  <si>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</si>
  <si>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</si>
  <si>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</si>
  <si>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</si>
  <si>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</si>
  <si>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</si>
  <si>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</si>
  <si>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</si>
  <si>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</si>
  <si>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</si>
  <si>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</si>
  <si>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</si>
  <si>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</si>
  <si>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</si>
  <si>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</si>
  <si>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</si>
  <si>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</si>
  <si>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</si>
  <si>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</si>
  <si>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</si>
  <si>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</si>
  <si>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</si>
  <si>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</si>
  <si>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</si>
  <si>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</si>
  <si>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</si>
  <si>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</si>
  <si>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</si>
  <si>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</si>
  <si>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</si>
  <si>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</si>
  <si>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</si>
  <si>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</si>
  <si>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</si>
  <si>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</si>
  <si>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</si>
  <si>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</si>
  <si>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</si>
  <si>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</si>
  <si>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</si>
  <si>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</si>
  <si>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</si>
  <si>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</si>
  <si>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</si>
  <si>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</si>
  <si>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</si>
  <si>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</si>
  <si>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</si>
  <si>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</si>
  <si>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</si>
  <si>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</si>
  <si>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</si>
  <si>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</si>
  <si>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</si>
  <si>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</si>
  <si>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</si>
  <si>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</si>
  <si>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</si>
  <si>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</si>
  <si>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</si>
  <si>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</si>
  <si>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</si>
  <si>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</si>
  <si>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</si>
  <si>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</si>
  <si>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</si>
  <si>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</si>
  <si>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</si>
  <si>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</si>
  <si>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</si>
  <si>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</si>
  <si>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</si>
  <si>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</si>
  <si>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</si>
  <si>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</si>
  <si>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</si>
  <si>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</si>
  <si>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</si>
  <si>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</si>
  <si>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</si>
  <si>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</si>
  <si>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</si>
  <si>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</si>
  <si>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</si>
  <si>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</si>
  <si>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</si>
  <si>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</si>
  <si>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</si>
  <si>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</si>
  <si>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</si>
  <si>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</si>
  <si>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</si>
  <si>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</si>
  <si>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</si>
  <si>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</si>
  <si>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</si>
  <si>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</si>
  <si>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</si>
  <si>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</si>
  <si>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</si>
  <si>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</si>
  <si>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</si>
  <si>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</si>
  <si>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</si>
  <si>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</si>
  <si>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</si>
  <si>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</si>
  <si>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</si>
  <si>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</si>
  <si>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</si>
  <si>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</si>
  <si>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</si>
  <si>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</si>
  <si>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</si>
  <si>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</si>
  <si>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</si>
  <si>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</si>
  <si>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</si>
  <si>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</si>
  <si>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</si>
  <si>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</si>
  <si>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</si>
  <si>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</si>
  <si>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</si>
  <si>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</si>
  <si>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</si>
  <si>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</si>
  <si>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</si>
  <si>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</si>
  <si>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</si>
  <si>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</si>
  <si>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</si>
  <si>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</si>
  <si>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</si>
  <si>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</si>
  <si>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</si>
  <si>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</si>
  <si>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</si>
  <si>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</si>
  <si>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</si>
  <si>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</si>
  <si>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</si>
  <si>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</si>
  <si>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</si>
  <si>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</si>
  <si>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</si>
  <si>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</si>
  <si>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</si>
  <si>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</si>
  <si>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</si>
  <si>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</si>
  <si>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</si>
  <si>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</si>
  <si>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</si>
  <si>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</si>
  <si>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</si>
  <si>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</si>
  <si>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</si>
  <si>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</si>
  <si>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</si>
  <si>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</si>
  <si>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</si>
  <si>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</si>
  <si>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</si>
  <si>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</si>
  <si>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</si>
  <si>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</si>
  <si>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</si>
  <si>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</si>
  <si>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</si>
  <si>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</si>
  <si>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</si>
  <si>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</si>
  <si>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</si>
  <si>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</si>
  <si>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</si>
  <si>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</si>
  <si>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</si>
  <si>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</si>
  <si>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</si>
  <si>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</si>
  <si>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</si>
  <si>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</si>
  <si>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</si>
  <si>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</si>
  <si>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</si>
  <si>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</si>
  <si>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</si>
  <si>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</si>
  <si>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</si>
  <si>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</si>
  <si>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</si>
  <si>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</si>
  <si>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</si>
  <si>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</si>
  <si>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</si>
  <si>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</si>
  <si>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</si>
  <si>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</si>
  <si>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</si>
  <si>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</si>
  <si>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</si>
  <si>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</si>
  <si>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</si>
  <si>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</si>
  <si>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</si>
  <si>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</si>
  <si>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</si>
  <si>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</si>
  <si>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</si>
  <si>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</si>
  <si>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</si>
  <si>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</si>
  <si>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</si>
  <si>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</si>
  <si>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</si>
  <si>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</si>
  <si>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</si>
  <si>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</si>
  <si>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</si>
  <si>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</si>
  <si>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</si>
  <si>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</si>
  <si>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</si>
  <si>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</si>
  <si>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</si>
  <si>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</si>
  <si>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</si>
  <si>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</si>
  <si>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</si>
  <si>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</si>
  <si>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</si>
  <si>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</si>
  <si>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</si>
  <si>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</si>
  <si>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</si>
  <si>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</si>
  <si>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</si>
  <si>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</si>
  <si>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</si>
  <si>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</si>
  <si>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</si>
  <si>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</si>
  <si>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</si>
  <si>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</si>
  <si>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</si>
  <si>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</si>
  <si>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</si>
  <si>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</si>
  <si>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</si>
  <si>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</si>
  <si>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</si>
  <si>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</si>
  <si>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</si>
  <si>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</si>
  <si>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</si>
  <si>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</si>
  <si>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</si>
  <si>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</si>
  <si>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</si>
  <si>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</si>
  <si>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</si>
  <si>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</si>
  <si>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</si>
  <si>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</si>
  <si>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</si>
  <si>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</si>
  <si>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</si>
  <si>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</si>
  <si>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</si>
  <si>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</si>
  <si>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</si>
  <si>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</si>
  <si>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</si>
  <si>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</si>
  <si>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</si>
  <si>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</si>
  <si>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</si>
  <si>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</si>
  <si>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</si>
  <si>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</si>
  <si>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</si>
  <si>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</si>
  <si>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</si>
  <si>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</si>
  <si>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</si>
  <si>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</si>
  <si>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</si>
  <si>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</si>
  <si>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</si>
  <si>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</si>
  <si>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</si>
  <si>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</si>
  <si>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</si>
  <si>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</si>
  <si>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</si>
  <si>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</si>
  <si>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</si>
  <si>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</si>
  <si>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</si>
  <si>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</si>
  <si>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</si>
  <si>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</si>
  <si>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</si>
  <si>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</si>
  <si>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</si>
  <si>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</si>
  <si>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</si>
  <si>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</si>
  <si>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</si>
  <si>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</si>
  <si>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</si>
  <si>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</si>
  <si>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</si>
  <si>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</si>
  <si>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</si>
  <si>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</si>
  <si>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</si>
  <si>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</si>
  <si>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</si>
  <si>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</si>
  <si>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</si>
  <si>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</si>
  <si>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</si>
  <si>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</si>
  <si>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</si>
  <si>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</si>
  <si>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</si>
  <si>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</si>
  <si>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</si>
  <si>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</si>
  <si>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</si>
  <si>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</si>
  <si>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</si>
  <si>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</si>
  <si>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</si>
  <si>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</si>
  <si>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</si>
  <si>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</si>
  <si>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</si>
  <si>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</si>
  <si>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</si>
  <si>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</si>
  <si>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</si>
  <si>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</si>
  <si>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</si>
  <si>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</si>
  <si>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</si>
  <si>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</si>
  <si>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</si>
  <si>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</si>
  <si>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</si>
  <si>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</si>
  <si>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</si>
  <si>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</si>
  <si>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</si>
  <si>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</si>
  <si>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</si>
  <si>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</si>
  <si>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</si>
  <si>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</si>
  <si>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</si>
  <si>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</si>
  <si>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</si>
  <si>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</si>
  <si>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</si>
  <si>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</si>
  <si>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</si>
  <si>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</si>
  <si>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</si>
  <si>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</si>
  <si>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</si>
  <si>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</si>
  <si>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</si>
  <si>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</si>
  <si>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</si>
  <si>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</si>
  <si>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</si>
  <si>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</si>
  <si>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</si>
  <si>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</si>
  <si>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</si>
  <si>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</si>
  <si>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</si>
  <si>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</si>
  <si>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</si>
  <si>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</si>
  <si>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</si>
  <si>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</si>
  <si>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</si>
  <si>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</si>
  <si>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</si>
  <si>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</si>
  <si>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</si>
  <si>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</si>
  <si>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</si>
  <si>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</si>
  <si>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</si>
  <si>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</si>
  <si>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</si>
  <si>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</si>
  <si>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</si>
  <si>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</si>
  <si>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</si>
  <si>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</si>
  <si>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</si>
  <si>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</si>
  <si>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</si>
  <si>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</si>
  <si>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</si>
  <si>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</si>
  <si>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</si>
  <si>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</si>
  <si>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</si>
  <si>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</si>
  <si>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</si>
  <si>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</si>
  <si>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</si>
  <si>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</si>
  <si>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</si>
  <si>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</si>
  <si>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</si>
  <si>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</si>
  <si>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</si>
  <si>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</si>
  <si>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</si>
  <si>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</si>
  <si>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</si>
  <si>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</si>
  <si>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</si>
  <si>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</si>
  <si>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</si>
  <si>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</si>
  <si>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</si>
  <si>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</si>
  <si>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</si>
  <si>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</si>
  <si>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</si>
  <si>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</si>
  <si>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</si>
  <si>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</si>
  <si>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</si>
  <si>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</si>
  <si>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</si>
  <si>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</si>
  <si>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</si>
  <si>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</si>
  <si>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</si>
  <si>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</si>
  <si>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</si>
  <si>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</si>
  <si>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</si>
  <si>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</si>
  <si>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</si>
  <si>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</si>
  <si>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</si>
  <si>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</si>
  <si>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</si>
  <si>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</si>
  <si>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</si>
  <si>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</si>
  <si>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</si>
  <si>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</si>
  <si>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</si>
  <si>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</si>
  <si>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</si>
  <si>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</si>
  <si>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</si>
  <si>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</si>
  <si>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</si>
  <si>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</si>
  <si>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</si>
  <si>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</si>
  <si>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</si>
  <si>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</si>
  <si>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</si>
  <si>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</si>
  <si>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</si>
  <si>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</si>
  <si>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</si>
  <si>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</si>
  <si>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</si>
  <si>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</si>
  <si>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</si>
  <si>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</si>
  <si>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</si>
  <si>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</si>
  <si>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</si>
  <si>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</si>
  <si>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</si>
  <si>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</si>
  <si>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</si>
  <si>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</si>
  <si>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</si>
  <si>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</si>
  <si>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</si>
  <si>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</si>
  <si>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</si>
  <si>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</si>
  <si>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</si>
  <si>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</si>
  <si>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</si>
  <si>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</si>
  <si>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</si>
  <si>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</si>
  <si>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</si>
  <si>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</si>
  <si>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</si>
  <si>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</si>
  <si>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</si>
  <si>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</si>
  <si>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</si>
  <si>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</si>
  <si>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</si>
  <si>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</si>
  <si>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</si>
  <si>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</si>
  <si>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</si>
  <si>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</si>
  <si>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</si>
  <si>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</si>
  <si>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</si>
  <si>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</si>
  <si>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</si>
  <si>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</si>
  <si>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</si>
  <si>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</si>
  <si>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</si>
  <si>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</si>
  <si>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</si>
  <si>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</si>
  <si>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</si>
  <si>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</si>
  <si>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</si>
  <si>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</si>
  <si>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</si>
  <si>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</si>
  <si>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</si>
  <si>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</si>
  <si>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</si>
  <si>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</si>
  <si>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</si>
  <si>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</si>
  <si>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</si>
  <si>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</si>
  <si>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</si>
  <si>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</si>
  <si>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</si>
  <si>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</si>
  <si>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</si>
  <si>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</si>
  <si>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</si>
  <si>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</si>
  <si>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</si>
  <si>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</si>
  <si>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</si>
  <si>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</si>
  <si>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</si>
  <si>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</si>
  <si>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</si>
  <si>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</si>
  <si>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</si>
  <si>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</si>
  <si>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</si>
  <si>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</si>
  <si>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</si>
  <si>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</si>
  <si>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</si>
  <si>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</si>
  <si>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</si>
  <si>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</si>
  <si>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</si>
  <si>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</si>
  <si>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</si>
  <si>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</si>
  <si>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</si>
  <si>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</si>
  <si>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</si>
  <si>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</si>
  <si>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</si>
  <si>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</si>
  <si>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</si>
  <si>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</si>
  <si>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</si>
  <si>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</si>
  <si>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</si>
  <si>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</si>
  <si>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</si>
  <si>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</si>
  <si>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</si>
  <si>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</si>
  <si>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</si>
  <si>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</si>
  <si>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</si>
  <si>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</si>
  <si>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</si>
  <si>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</si>
  <si>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</si>
  <si>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</si>
  <si>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</si>
  <si>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</si>
  <si>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</si>
  <si>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</si>
  <si>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</si>
  <si>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</si>
  <si>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</si>
  <si>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</si>
  <si>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</si>
  <si>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</si>
  <si>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</si>
  <si>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</si>
  <si>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</si>
  <si>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</si>
  <si>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</si>
  <si>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</si>
  <si>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</si>
  <si>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</si>
  <si>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</si>
  <si>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</si>
  <si>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</si>
  <si>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</si>
  <si>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</si>
  <si>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</si>
  <si>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</si>
  <si>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</si>
  <si>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</si>
  <si>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</si>
  <si>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</si>
  <si>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</si>
  <si>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</si>
  <si>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</si>
  <si>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</si>
  <si>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</si>
  <si>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</si>
  <si>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</si>
  <si>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</si>
  <si>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</si>
  <si>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</si>
  <si>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</si>
  <si>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</si>
  <si>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</si>
  <si>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</si>
  <si>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</si>
  <si>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</si>
  <si>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</si>
  <si>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</si>
  <si>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</si>
  <si>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</si>
  <si>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</si>
  <si>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</si>
  <si>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</si>
  <si>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</si>
  <si>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</si>
  <si>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</si>
  <si>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</si>
  <si>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</si>
  <si>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</si>
  <si>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</si>
  <si>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</si>
  <si>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</si>
  <si>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</si>
  <si>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</si>
  <si>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</si>
  <si>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</si>
  <si>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</si>
  <si>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</si>
  <si>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</si>
  <si>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</si>
  <si>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</si>
  <si>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</si>
  <si>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</si>
  <si>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</si>
  <si>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</si>
  <si>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</si>
  <si>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</si>
  <si>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</si>
  <si>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</si>
  <si>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</si>
  <si>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</si>
  <si>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</si>
  <si>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</si>
  <si>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</si>
  <si>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</si>
  <si>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</si>
  <si>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</si>
  <si>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</si>
  <si>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</si>
  <si>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</si>
  <si>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</si>
  <si>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</si>
  <si>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</si>
  <si>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</si>
  <si>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</si>
  <si>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</si>
  <si>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</si>
  <si>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</si>
  <si>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</si>
  <si>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</si>
  <si>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</si>
  <si>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</si>
  <si>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</si>
  <si>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</si>
  <si>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</si>
  <si>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</si>
  <si>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</si>
  <si>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</si>
  <si>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</si>
  <si>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</si>
  <si>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</si>
  <si>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</si>
  <si>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</si>
  <si>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</si>
  <si>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</si>
  <si>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</si>
  <si>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</si>
  <si>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</si>
  <si>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</si>
  <si>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</si>
  <si>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</si>
  <si>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</si>
  <si>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</si>
  <si>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</si>
  <si>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</si>
  <si>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</si>
  <si>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</si>
  <si>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</si>
  <si>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</si>
  <si>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</si>
  <si>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</si>
  <si>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</si>
  <si>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</si>
  <si>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</si>
  <si>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</si>
  <si>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</si>
  <si>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</si>
  <si>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</si>
  <si>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</si>
  <si>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</si>
  <si>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</si>
  <si>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</si>
  <si>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</si>
  <si>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</si>
  <si>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</si>
  <si>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</si>
  <si>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</si>
  <si>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</si>
  <si>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</si>
  <si>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</si>
  <si>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</si>
  <si>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</si>
  <si>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</si>
  <si>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</si>
  <si>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</si>
  <si>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</si>
  <si>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</si>
  <si>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</si>
  <si>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</si>
  <si>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</si>
  <si>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</si>
  <si>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</si>
  <si>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</si>
  <si>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</si>
  <si>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</si>
  <si>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</si>
  <si>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</si>
  <si>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</si>
  <si>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</si>
  <si>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</si>
  <si>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</si>
  <si>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</si>
  <si>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</si>
  <si>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</si>
  <si>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</si>
  <si>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</si>
  <si>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</si>
  <si>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</si>
  <si>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</si>
  <si>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</si>
  <si>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</si>
  <si>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</si>
  <si>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</si>
  <si>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</si>
  <si>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</si>
  <si>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</si>
  <si>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</si>
  <si>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</si>
  <si>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</si>
  <si>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</si>
  <si>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</si>
  <si>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</si>
  <si>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</si>
  <si>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</si>
  <si>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</si>
  <si>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</si>
  <si>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</si>
  <si>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</si>
  <si>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</si>
  <si>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</si>
  <si>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</si>
  <si>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</si>
  <si>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</si>
  <si>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</si>
  <si>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</si>
  <si>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</si>
  <si>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</si>
  <si>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</si>
  <si>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</si>
  <si>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</si>
  <si>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</si>
  <si>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</si>
  <si>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</si>
  <si>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</si>
  <si>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</si>
  <si>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</si>
  <si>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</si>
  <si>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</si>
  <si>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</si>
  <si>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</si>
  <si>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</si>
  <si>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</si>
  <si>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</si>
  <si>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</si>
  <si>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</si>
  <si>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</si>
  <si>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</si>
  <si>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</si>
  <si>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</si>
  <si>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</si>
  <si>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</si>
  <si>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</si>
  <si>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</si>
  <si>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</si>
  <si>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</si>
  <si>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</si>
  <si>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</si>
  <si>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</si>
  <si>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</si>
  <si>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</si>
  <si>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</si>
  <si>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</si>
  <si>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</si>
  <si>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</si>
  <si>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</si>
  <si>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</si>
  <si>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</si>
  <si>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</si>
  <si>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</si>
  <si>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</si>
  <si>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</si>
  <si>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</si>
  <si>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</si>
  <si>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</si>
  <si>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</si>
  <si>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</si>
  <si>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</si>
  <si>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</si>
  <si>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</si>
  <si>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</si>
  <si>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</si>
  <si>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</si>
  <si>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</si>
  <si>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</si>
  <si>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</si>
  <si>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</si>
  <si>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</si>
  <si>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</si>
  <si>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</si>
  <si>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</si>
  <si>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</si>
  <si>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</si>
  <si>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</si>
  <si>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</si>
  <si>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</si>
  <si>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</si>
  <si>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</si>
  <si>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</si>
  <si>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</si>
  <si>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</si>
  <si>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</si>
  <si>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</si>
  <si>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</si>
  <si>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</si>
  <si>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</si>
  <si>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</si>
  <si>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</si>
  <si>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</si>
  <si>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</si>
  <si>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</si>
  <si>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</si>
  <si>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</si>
  <si>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</si>
  <si>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</si>
  <si>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</si>
  <si>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</si>
  <si>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</si>
  <si>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</si>
  <si>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</si>
  <si>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</si>
  <si>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</si>
  <si>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</si>
  <si>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</si>
  <si>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</si>
  <si>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</si>
  <si>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</si>
  <si>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</si>
  <si>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</si>
  <si>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</si>
  <si>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</si>
  <si>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</si>
  <si>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</si>
  <si>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</si>
  <si>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</si>
  <si>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</si>
  <si>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</si>
  <si>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</si>
  <si>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</si>
  <si>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</si>
  <si>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</si>
  <si>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</si>
  <si>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</si>
  <si>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</si>
  <si>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</si>
  <si>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</si>
  <si>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</si>
  <si>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</si>
  <si>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</si>
  <si>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</si>
  <si>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</si>
  <si>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</si>
  <si>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</si>
  <si>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</si>
  <si>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</si>
  <si>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</si>
  <si>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</si>
  <si>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</si>
  <si>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</si>
  <si>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</si>
  <si>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</si>
  <si>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</si>
  <si>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</si>
  <si>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</si>
  <si>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</si>
  <si>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</si>
  <si>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</si>
  <si>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</si>
  <si>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</si>
  <si>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</si>
  <si>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</si>
  <si>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</si>
  <si>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</si>
  <si>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</si>
  <si>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</si>
  <si>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</si>
  <si>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</si>
  <si>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</si>
  <si>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</si>
  <si>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</si>
  <si>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</si>
  <si>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</si>
  <si>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</si>
  <si>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</si>
  <si>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</si>
  <si>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</si>
  <si>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</si>
  <si>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</si>
  <si>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</si>
  <si>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</si>
  <si>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</si>
  <si>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</si>
  <si>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</si>
  <si>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</si>
  <si>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</si>
  <si>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</si>
  <si>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</si>
  <si>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</si>
  <si>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</si>
  <si>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</si>
  <si>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</si>
  <si>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</si>
  <si>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</si>
  <si>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</si>
  <si>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</si>
  <si>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</si>
  <si>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</si>
  <si>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</si>
  <si>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</si>
  <si>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</si>
  <si>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</si>
  <si>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</si>
  <si>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</si>
  <si>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</si>
  <si>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</si>
  <si>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</si>
  <si>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</si>
  <si>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</si>
  <si>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</si>
  <si>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</si>
  <si>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</si>
  <si>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</si>
  <si>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</si>
  <si>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</si>
  <si>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</si>
  <si>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</si>
  <si>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</si>
  <si>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</si>
  <si>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</si>
  <si>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</si>
  <si>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</si>
  <si>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</si>
  <si>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</si>
  <si>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</si>
  <si>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</si>
  <si>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</si>
  <si>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</si>
  <si>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</si>
  <si>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</si>
  <si>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</si>
  <si>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</si>
  <si>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</si>
  <si>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</si>
  <si>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</si>
  <si>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</si>
  <si>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</si>
  <si>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</si>
  <si>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</si>
  <si>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</si>
  <si>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</si>
  <si>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</si>
  <si>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</si>
  <si>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</si>
  <si>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</si>
  <si>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</si>
  <si>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</si>
  <si>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</si>
  <si>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</si>
  <si>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</si>
  <si>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</si>
  <si>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</si>
  <si>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</si>
  <si>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</si>
  <si>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</si>
  <si>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</si>
  <si>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</si>
  <si>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</si>
  <si>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</si>
  <si>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</si>
  <si>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</si>
  <si>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</si>
  <si>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</si>
  <si>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</si>
  <si>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</si>
  <si>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</si>
  <si>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</si>
  <si>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</si>
  <si>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</si>
  <si>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</si>
  <si>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</si>
  <si>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</si>
  <si>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</si>
  <si>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</si>
  <si>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</si>
  <si>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</si>
  <si>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</si>
  <si>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</si>
  <si>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</si>
  <si>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</si>
  <si>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</si>
  <si>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</si>
  <si>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</si>
  <si>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</si>
  <si>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</si>
  <si>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</si>
  <si>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</si>
  <si>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</si>
  <si>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</si>
  <si>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</si>
  <si>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</si>
  <si>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</si>
  <si>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</si>
  <si>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</si>
  <si>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</si>
  <si>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</si>
  <si>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</si>
  <si>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</si>
  <si>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</si>
  <si>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</si>
  <si>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</si>
  <si>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</si>
  <si>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</si>
  <si>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</si>
  <si>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</si>
  <si>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</si>
  <si>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</si>
  <si>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</si>
  <si>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</si>
  <si>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</si>
  <si>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</si>
  <si>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</si>
  <si>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</si>
  <si>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</si>
  <si>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</si>
  <si>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</si>
  <si>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</si>
  <si>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</si>
  <si>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</si>
  <si>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</si>
  <si>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</si>
  <si>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</si>
  <si>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</si>
  <si>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</si>
  <si>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</si>
  <si>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</si>
  <si>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</si>
  <si>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</si>
  <si>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</si>
  <si>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</si>
  <si>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</si>
  <si>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</si>
  <si>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</si>
  <si>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</si>
  <si>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</si>
  <si>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</si>
  <si>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</si>
  <si>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</si>
  <si>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</si>
  <si>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</si>
  <si>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</si>
  <si>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</si>
  <si>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</si>
  <si>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</si>
  <si>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</si>
  <si>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</si>
  <si>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</si>
  <si>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</si>
  <si>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</si>
  <si>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</si>
  <si>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</si>
  <si>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</si>
  <si>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</si>
  <si>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</si>
  <si>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</si>
  <si>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</si>
  <si>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</si>
  <si>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</si>
  <si>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</si>
  <si>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</si>
  <si>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</si>
  <si>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</si>
  <si>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</si>
  <si>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</si>
  <si>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</si>
  <si>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</si>
  <si>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</si>
  <si>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</si>
  <si>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</si>
  <si>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</si>
  <si>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</si>
  <si>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</si>
  <si>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</si>
  <si>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</si>
  <si>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</si>
  <si>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</si>
  <si>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</si>
  <si>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</si>
  <si>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</si>
  <si>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</si>
  <si>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</si>
  <si>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</si>
  <si>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</si>
  <si>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</si>
  <si>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</si>
  <si>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</si>
  <si>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</si>
  <si>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</si>
  <si>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</si>
  <si>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</si>
  <si>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</si>
  <si>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</si>
  <si>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</si>
  <si>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</si>
  <si>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</si>
  <si>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</si>
  <si>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</si>
  <si>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</si>
  <si>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</si>
  <si>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</si>
  <si>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</si>
  <si>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</si>
  <si>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</si>
  <si>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</si>
  <si>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</si>
  <si>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</si>
  <si>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</si>
  <si>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</si>
  <si>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</si>
  <si>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</si>
  <si>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</si>
  <si>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</si>
  <si>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</si>
  <si>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</si>
  <si>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</si>
  <si>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</si>
  <si>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</si>
  <si>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</si>
  <si>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</si>
  <si>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</si>
  <si>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</si>
  <si>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</si>
  <si>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</si>
  <si>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</si>
  <si>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</si>
  <si>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</si>
  <si>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</si>
  <si>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</si>
  <si>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</si>
  <si>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</si>
  <si>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</si>
  <si>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</si>
  <si>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</si>
  <si>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</si>
  <si>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</si>
  <si>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</si>
  <si>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</si>
  <si>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</si>
  <si>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</si>
  <si>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</si>
  <si>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</si>
  <si>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</si>
  <si>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</si>
  <si>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</si>
  <si>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</si>
  <si>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</si>
  <si>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</si>
  <si>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</si>
  <si>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</si>
  <si>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</si>
  <si>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</si>
  <si>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</si>
  <si>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</si>
  <si>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</si>
  <si>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</si>
  <si>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</si>
  <si>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</si>
  <si>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</si>
  <si>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</si>
  <si>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</si>
  <si>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</si>
  <si>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</si>
  <si>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</si>
  <si>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</si>
  <si>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</si>
  <si>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</si>
  <si>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</si>
  <si>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</si>
  <si>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</si>
  <si>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</si>
  <si>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</si>
  <si>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</si>
  <si>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</si>
  <si>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</si>
  <si>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</si>
  <si>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</si>
  <si>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</si>
  <si>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</si>
  <si>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</si>
  <si>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</si>
  <si>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</si>
  <si>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</si>
  <si>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</si>
  <si>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</si>
  <si>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</si>
  <si>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</si>
  <si>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</si>
  <si>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</si>
  <si>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</si>
  <si>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</si>
  <si>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</si>
  <si>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</si>
  <si>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</si>
  <si>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</si>
  <si>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</si>
  <si>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</si>
  <si>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</si>
  <si>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</si>
  <si>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</si>
  <si>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</si>
  <si>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</si>
  <si>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</si>
  <si>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</si>
  <si>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</si>
  <si>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</si>
  <si>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</si>
  <si>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</si>
  <si>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</si>
  <si>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</si>
  <si>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</si>
  <si>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</si>
  <si>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</si>
  <si>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</si>
  <si>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</si>
  <si>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</si>
  <si>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</si>
  <si>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</si>
  <si>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</si>
  <si>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</si>
  <si>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</si>
  <si>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</si>
  <si>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</si>
  <si>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</si>
  <si>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</si>
  <si>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</si>
  <si>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</si>
  <si>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</si>
  <si>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</si>
  <si>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</si>
  <si>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</si>
  <si>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</si>
  <si>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</si>
  <si>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</si>
  <si>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</si>
  <si>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</si>
  <si>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</si>
  <si>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</si>
  <si>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</si>
  <si>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</si>
  <si>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</si>
  <si>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</si>
  <si>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</si>
  <si>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</si>
  <si>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</si>
  <si>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</si>
  <si>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</si>
  <si>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</si>
  <si>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</si>
  <si>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</si>
  <si>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</si>
  <si>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</si>
  <si>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</si>
  <si>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</si>
  <si>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</si>
  <si>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</si>
  <si>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</si>
  <si>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</si>
  <si>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</si>
  <si>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</si>
  <si>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</si>
  <si>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</si>
  <si>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</si>
  <si>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</si>
  <si>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</si>
  <si>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</si>
  <si>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</si>
  <si>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</si>
  <si>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</si>
  <si>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</si>
  <si>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</si>
  <si>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</si>
  <si>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</si>
  <si>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</si>
  <si>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</si>
  <si>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</si>
  <si>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</si>
  <si>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</si>
  <si>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</si>
  <si>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</si>
  <si>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</si>
  <si>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</si>
  <si>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</si>
  <si>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</si>
  <si>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</si>
  <si>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</si>
  <si>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</si>
  <si>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</si>
  <si>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</si>
  <si>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</si>
  <si>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</si>
  <si>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</si>
  <si>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</si>
  <si>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</si>
  <si>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</si>
  <si>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</si>
  <si>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</si>
  <si>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</si>
  <si>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</si>
  <si>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</si>
  <si>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</si>
  <si>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</si>
  <si>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</si>
  <si>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</si>
  <si>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</si>
  <si>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</si>
  <si>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</si>
  <si>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</si>
  <si>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</si>
  <si>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</si>
  <si>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</si>
  <si>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</si>
  <si>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</si>
  <si>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</si>
  <si>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</si>
  <si>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</si>
  <si>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</si>
  <si>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</si>
  <si>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</si>
  <si>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</si>
  <si>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</si>
  <si>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</si>
  <si>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</si>
  <si>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</si>
  <si>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</si>
  <si>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</si>
  <si>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</si>
  <si>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</si>
  <si>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</si>
  <si>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</si>
  <si>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</si>
  <si>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</si>
  <si>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</si>
  <si>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</si>
  <si>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</si>
  <si>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</si>
  <si>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</si>
  <si>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</si>
  <si>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</si>
  <si>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</si>
  <si>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</si>
  <si>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</si>
  <si>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</si>
  <si>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</si>
  <si>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</si>
  <si>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</si>
  <si>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</si>
  <si>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</si>
  <si>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</si>
  <si>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</si>
  <si>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</si>
  <si>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</si>
  <si>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</si>
  <si>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</si>
  <si>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</si>
  <si>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</si>
  <si>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</si>
  <si>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</si>
  <si>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</si>
  <si>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</si>
  <si>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</si>
  <si>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</si>
  <si>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</si>
  <si>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</si>
  <si>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</si>
  <si>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</si>
  <si>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</si>
  <si>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</si>
  <si>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</si>
  <si>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</si>
  <si>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</si>
  <si>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</si>
  <si>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</si>
  <si>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</si>
  <si>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</si>
  <si>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</si>
  <si>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</si>
  <si>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</si>
  <si>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</si>
  <si>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</si>
  <si>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</si>
  <si>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</si>
  <si>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</si>
  <si>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</si>
  <si>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</si>
  <si>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</si>
  <si>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</si>
  <si>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</si>
  <si>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</si>
  <si>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</si>
  <si>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</si>
  <si>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</si>
  <si>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</si>
  <si>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</si>
  <si>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</si>
  <si>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</si>
  <si>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</si>
  <si>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</si>
  <si>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</si>
  <si>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</si>
  <si>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</si>
  <si>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</si>
  <si>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</si>
  <si>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</si>
  <si>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</si>
  <si>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</si>
  <si>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</si>
  <si>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</si>
  <si>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</si>
  <si>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</si>
  <si>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</si>
  <si>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</si>
  <si>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</si>
  <si>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</si>
  <si>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</si>
  <si>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</si>
  <si>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</si>
  <si>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</si>
  <si>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</si>
  <si>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</si>
  <si>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</si>
  <si>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</si>
  <si>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</si>
  <si>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</si>
  <si>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</si>
  <si>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</si>
  <si>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</si>
  <si>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</si>
  <si>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</si>
  <si>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</si>
  <si>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</si>
  <si>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</si>
  <si>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</si>
  <si>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</si>
  <si>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</si>
  <si>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</si>
  <si>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</si>
  <si>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</si>
  <si>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</si>
  <si>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</si>
  <si>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</si>
  <si>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</si>
  <si>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</si>
  <si>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</si>
  <si>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</si>
  <si>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</si>
  <si>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</si>
  <si>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</si>
  <si>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</si>
  <si>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</si>
  <si>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</si>
  <si>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</si>
  <si>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</si>
  <si>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</si>
  <si>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</si>
  <si>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</si>
  <si>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</si>
  <si>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</si>
  <si>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</si>
  <si>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</si>
  <si>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</si>
  <si>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</si>
  <si>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</si>
  <si>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</si>
  <si>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</si>
  <si>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</si>
  <si>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</si>
  <si>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</si>
  <si>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</si>
  <si>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</si>
  <si>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</si>
  <si>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</si>
  <si>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</si>
  <si>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</si>
  <si>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</si>
  <si>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</si>
  <si>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</si>
  <si>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</si>
  <si>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</si>
  <si>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</si>
  <si>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</si>
  <si>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</si>
  <si>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</si>
  <si>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</si>
  <si>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</si>
  <si>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</si>
  <si>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</si>
  <si>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</si>
  <si>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</si>
  <si>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</si>
  <si>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</si>
  <si>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</si>
  <si>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</si>
  <si>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</si>
  <si>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</si>
  <si>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</si>
  <si>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</si>
  <si>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</si>
  <si>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</si>
  <si>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</si>
  <si>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</si>
  <si>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</si>
  <si>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</si>
  <si>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</si>
  <si>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</si>
  <si>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</si>
  <si>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</si>
  <si>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</si>
  <si>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</si>
  <si>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</si>
  <si>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</si>
  <si>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</si>
  <si>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</si>
  <si>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</si>
  <si>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</si>
  <si>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</si>
  <si>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</si>
  <si>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</si>
  <si>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</si>
  <si>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</si>
  <si>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</si>
  <si>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</si>
  <si>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</si>
  <si>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</si>
  <si>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</si>
  <si>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</si>
  <si>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</si>
  <si>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</si>
  <si>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</si>
  <si>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</si>
  <si>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</si>
  <si>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</si>
  <si>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</si>
  <si>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</si>
  <si>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</si>
  <si>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</si>
  <si>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</si>
  <si>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</si>
  <si>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</si>
  <si>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</si>
  <si>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</si>
  <si>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</si>
  <si>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</si>
  <si>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</si>
  <si>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</si>
  <si>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</si>
  <si>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</si>
  <si>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</si>
  <si>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</si>
  <si>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</si>
  <si>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</si>
  <si>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</si>
  <si>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</si>
  <si>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</si>
  <si>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</si>
  <si>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</si>
  <si>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</si>
  <si>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</si>
  <si>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</si>
  <si>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</si>
  <si>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</si>
  <si>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</si>
  <si>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</si>
  <si>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</si>
  <si>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</si>
  <si>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</si>
  <si>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</si>
  <si>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</si>
  <si>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</si>
  <si>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</si>
  <si>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</si>
  <si>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</si>
  <si>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</si>
  <si>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</si>
  <si>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</si>
  <si>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</si>
  <si>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</si>
  <si>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</si>
  <si>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</si>
  <si>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</si>
  <si>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</si>
  <si>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</si>
  <si>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</si>
  <si>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</si>
  <si>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</si>
  <si>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</si>
  <si>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</si>
  <si>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</si>
  <si>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</si>
  <si>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</si>
  <si>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</si>
  <si>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</si>
  <si>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</si>
  <si>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</si>
  <si>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</si>
  <si>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</si>
  <si>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</si>
  <si>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</si>
  <si>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</si>
  <si>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</si>
  <si>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</si>
  <si>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</si>
  <si>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</si>
  <si>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</si>
  <si>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</si>
  <si>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</si>
  <si>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</si>
  <si>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</si>
  <si>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</si>
  <si>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</si>
  <si>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</si>
  <si>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</si>
  <si>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</si>
  <si>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</si>
  <si>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</si>
  <si>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</si>
  <si>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</si>
  <si>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</si>
  <si>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</si>
  <si>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</si>
  <si>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</si>
  <si>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</si>
  <si>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</si>
  <si>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</si>
  <si>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</si>
  <si>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</si>
  <si>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</si>
  <si>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</si>
  <si>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</si>
  <si>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</si>
  <si>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</si>
  <si>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</si>
  <si>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</si>
  <si>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</si>
  <si>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</si>
  <si>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</si>
  <si>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</si>
  <si>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</si>
  <si>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</si>
  <si>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</si>
  <si>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</si>
  <si>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</si>
  <si>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</si>
  <si>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</si>
  <si>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</si>
  <si>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</si>
  <si>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</si>
  <si>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</si>
  <si>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</si>
  <si>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</si>
  <si>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</si>
  <si>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</si>
  <si>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</si>
  <si>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</si>
  <si>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</si>
  <si>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</si>
  <si>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</si>
  <si>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</si>
  <si>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</si>
  <si>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</si>
  <si>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</si>
  <si>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</si>
  <si>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</si>
  <si>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</si>
  <si>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</si>
  <si>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</si>
  <si>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</si>
  <si>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</si>
  <si>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</si>
  <si>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</si>
  <si>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</si>
  <si>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</si>
  <si>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</si>
  <si>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</si>
  <si>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</si>
  <si>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</si>
  <si>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</si>
  <si>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</si>
  <si>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</si>
  <si>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</si>
  <si>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</si>
  <si>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</si>
  <si>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</si>
  <si>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</si>
  <si>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</si>
  <si>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</si>
  <si>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</si>
  <si>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</si>
  <si>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</si>
  <si>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</si>
  <si>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</si>
  <si>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</si>
  <si>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</si>
  <si>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</si>
  <si>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</si>
  <si>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</si>
  <si>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</si>
  <si>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</si>
  <si>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</si>
  <si>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</si>
  <si>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</si>
  <si>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</si>
  <si>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</si>
  <si>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</si>
  <si>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</si>
  <si>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</si>
  <si>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</si>
  <si>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</si>
  <si>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</si>
  <si>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</si>
  <si>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</si>
  <si>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</si>
  <si>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</si>
  <si>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</si>
  <si>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</si>
  <si>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</si>
  <si>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</si>
  <si>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</si>
  <si>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</si>
  <si>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</si>
  <si>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</si>
  <si>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</si>
  <si>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</si>
  <si>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</si>
  <si>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</si>
  <si>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</si>
  <si>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</si>
  <si>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</si>
  <si>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</si>
  <si>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</si>
  <si>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</si>
  <si>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</si>
  <si>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</si>
  <si>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</si>
  <si>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</si>
  <si>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</si>
  <si>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</si>
  <si>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</si>
  <si>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</si>
  <si>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</si>
  <si>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</si>
  <si>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</si>
  <si>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</si>
  <si>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</si>
  <si>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</si>
  <si>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</si>
  <si>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</si>
  <si>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</si>
  <si>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</si>
  <si>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</si>
  <si>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</si>
  <si>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</si>
  <si>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</si>
  <si>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</si>
  <si>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</si>
  <si>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</si>
  <si>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</si>
  <si>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</si>
  <si>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</si>
  <si>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</si>
  <si>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</si>
  <si>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</si>
  <si>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</si>
  <si>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</si>
  <si>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</si>
  <si>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</si>
  <si>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</si>
  <si>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</si>
  <si>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</si>
  <si>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</si>
  <si>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</si>
  <si>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</si>
  <si>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</si>
  <si>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</si>
  <si>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</si>
  <si>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</si>
  <si>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</si>
  <si>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</si>
  <si>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</si>
  <si>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</si>
  <si>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</si>
  <si>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</si>
  <si>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</si>
  <si>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</si>
  <si>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</si>
  <si>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</si>
  <si>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</si>
  <si>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</si>
  <si>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</si>
  <si>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</si>
  <si>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</si>
  <si>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</si>
  <si>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</si>
  <si>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</si>
  <si>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</si>
  <si>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</si>
  <si>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</si>
  <si>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</si>
  <si>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</si>
  <si>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</si>
  <si>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</si>
  <si>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</si>
  <si>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</si>
  <si>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</si>
  <si>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</si>
  <si>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</si>
  <si>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</si>
  <si>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</si>
  <si>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</si>
  <si>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</si>
  <si>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</si>
  <si>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</si>
  <si>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</si>
  <si>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</si>
  <si>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</si>
  <si>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</si>
  <si>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</si>
  <si>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</si>
  <si>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</si>
  <si>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</si>
  <si>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</si>
  <si>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</si>
  <si>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</si>
  <si>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</si>
  <si>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</si>
  <si>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</si>
  <si>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</si>
  <si>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</si>
  <si>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</si>
  <si>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</si>
  <si>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</si>
  <si>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</si>
  <si>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</si>
  <si>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</si>
  <si>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</si>
  <si>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</si>
  <si>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</si>
  <si>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</si>
  <si>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</si>
  <si>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</si>
  <si>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</si>
  <si>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</si>
  <si>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</si>
  <si>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</si>
  <si>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</si>
  <si>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</si>
  <si>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</si>
  <si>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</si>
  <si>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</si>
  <si>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</si>
  <si>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</si>
  <si>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</si>
  <si>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</si>
  <si>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</si>
  <si>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</si>
  <si>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</si>
  <si>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</si>
  <si>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</si>
  <si>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</si>
  <si>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</si>
  <si>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</si>
  <si>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</si>
  <si>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</si>
  <si>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</si>
  <si>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</si>
  <si>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</si>
  <si>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</si>
  <si>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</si>
  <si>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</si>
  <si>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</si>
  <si>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</si>
  <si>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</si>
  <si>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</si>
  <si>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</si>
  <si>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</si>
  <si>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</si>
  <si>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</si>
  <si>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</si>
  <si>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</si>
  <si>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</si>
  <si>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</si>
  <si>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</si>
  <si>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</si>
  <si>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</si>
  <si>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</si>
  <si>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</si>
  <si>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</si>
  <si>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</si>
  <si>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</si>
  <si>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</si>
  <si>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</si>
  <si>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</si>
  <si>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</si>
  <si>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</si>
  <si>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</si>
  <si>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</si>
  <si>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</si>
  <si>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</si>
  <si>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</si>
  <si>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</si>
  <si>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</si>
  <si>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</si>
  <si>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</si>
  <si>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</si>
  <si>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</si>
  <si>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</si>
  <si>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</si>
  <si>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</si>
  <si>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</si>
  <si>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</si>
  <si>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</si>
  <si>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</si>
  <si>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</si>
  <si>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</si>
  <si>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</si>
  <si>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</si>
  <si>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</si>
  <si>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</si>
  <si>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</si>
  <si>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</si>
  <si>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</si>
  <si>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</si>
  <si>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</si>
  <si>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</si>
  <si>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</si>
  <si>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</si>
  <si>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</si>
  <si>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</si>
  <si>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</si>
  <si>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</si>
  <si>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</si>
  <si>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</si>
  <si>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</si>
  <si>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</si>
  <si>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</si>
  <si>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</si>
  <si>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</si>
  <si>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</si>
  <si>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</si>
  <si>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</si>
  <si>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</si>
  <si>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</si>
  <si>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</si>
  <si>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</si>
  <si>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</si>
  <si>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</si>
  <si>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</si>
  <si>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</si>
  <si>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</si>
  <si>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</si>
  <si>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</si>
  <si>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</si>
  <si>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</si>
  <si>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</si>
  <si>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</si>
  <si>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</si>
  <si>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</si>
  <si>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</si>
  <si>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</si>
  <si>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</si>
  <si>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</si>
  <si>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</si>
  <si>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</si>
  <si>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</si>
  <si>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</si>
  <si>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</si>
  <si>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</si>
  <si>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</si>
  <si>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</si>
  <si>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</si>
  <si>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</si>
  <si>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</si>
  <si>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</si>
  <si>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</si>
  <si>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</si>
  <si>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</si>
  <si>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</si>
  <si>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</si>
  <si>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</si>
  <si>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</si>
  <si>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</si>
  <si>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</si>
  <si>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</si>
  <si>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</si>
  <si>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</si>
  <si>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</si>
  <si>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</si>
  <si>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</si>
  <si>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</si>
  <si>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</si>
  <si>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</si>
  <si>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</si>
  <si>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</si>
  <si>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</si>
  <si>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</si>
  <si>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</si>
  <si>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</si>
  <si>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</si>
  <si>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</si>
  <si>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</si>
  <si>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</si>
  <si>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</si>
  <si>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</si>
  <si>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</si>
  <si>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</si>
  <si>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</si>
  <si>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</si>
  <si>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</si>
  <si>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</si>
  <si>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</si>
  <si>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</si>
  <si>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</si>
  <si>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</si>
  <si>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</si>
  <si>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</si>
  <si>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</si>
  <si>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</si>
  <si>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</si>
  <si>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</si>
  <si>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</si>
  <si>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</si>
  <si>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</si>
  <si>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</si>
  <si>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</si>
  <si>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</si>
  <si>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</si>
  <si>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</si>
  <si>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</si>
  <si>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</si>
  <si>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</si>
  <si>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</si>
  <si>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</si>
  <si>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</si>
  <si>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</si>
  <si>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</si>
  <si>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</si>
  <si>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</si>
  <si>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</si>
  <si>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</si>
  <si>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</si>
  <si>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</si>
  <si>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</si>
  <si>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</si>
  <si>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</si>
  <si>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</si>
  <si>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</si>
  <si>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</si>
  <si>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</si>
  <si>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</si>
  <si>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</si>
  <si>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</si>
  <si>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</si>
  <si>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</si>
  <si>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</si>
  <si>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</si>
  <si>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</si>
  <si>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</si>
  <si>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</si>
  <si>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</si>
  <si>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</si>
  <si>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</si>
  <si>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</si>
  <si>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</si>
  <si>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</si>
  <si>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</si>
  <si>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</si>
  <si>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</si>
  <si>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</si>
  <si>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</si>
  <si>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</si>
  <si>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</si>
  <si>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</si>
  <si>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</si>
  <si>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</si>
  <si>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</si>
  <si>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</si>
  <si>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</si>
  <si>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</si>
  <si>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</si>
  <si>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</si>
  <si>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</si>
  <si>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</si>
  <si>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</si>
  <si>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</si>
  <si>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</si>
  <si>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</si>
  <si>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</si>
  <si>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</si>
  <si>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</si>
  <si>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</si>
  <si>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</si>
  <si>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</si>
  <si>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</si>
  <si>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</si>
  <si>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</si>
  <si>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</si>
  <si>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</si>
  <si>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</si>
  <si>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</si>
  <si>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</si>
  <si>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</si>
  <si>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</si>
  <si>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</si>
  <si>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</si>
  <si>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</si>
  <si>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</si>
  <si>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</si>
  <si>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</si>
  <si>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</si>
  <si>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</si>
  <si>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</si>
  <si>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</si>
  <si>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</si>
  <si>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</si>
  <si>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</si>
  <si>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</si>
  <si>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</si>
  <si>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</si>
  <si>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</si>
  <si>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</si>
  <si>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</si>
  <si>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</si>
  <si>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</si>
  <si>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</si>
  <si>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</si>
  <si>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</si>
  <si>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</si>
  <si>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</si>
  <si>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</si>
  <si>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</si>
  <si>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</si>
  <si>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</si>
  <si>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</si>
  <si>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</si>
  <si>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</si>
  <si>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</si>
  <si>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</si>
  <si>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</si>
  <si>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</si>
  <si>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</si>
  <si>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</si>
  <si>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</si>
  <si>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</si>
  <si>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</si>
  <si>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</si>
  <si>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</si>
  <si>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</si>
  <si>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</si>
  <si>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</si>
  <si>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</si>
  <si>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</si>
  <si>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</si>
  <si>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</si>
  <si>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</si>
  <si>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</si>
  <si>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</si>
  <si>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</si>
  <si>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</si>
  <si>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</si>
  <si>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</si>
  <si>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</si>
  <si>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</si>
  <si>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</si>
  <si>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</si>
  <si>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</si>
  <si>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</si>
  <si>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</si>
  <si>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</si>
  <si>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</si>
  <si>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</si>
  <si>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</si>
  <si>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</si>
  <si>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</si>
  <si>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</si>
  <si>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</si>
  <si>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</si>
  <si>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</si>
  <si>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</si>
  <si>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</si>
  <si>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</si>
  <si>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</si>
  <si>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</si>
  <si>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</si>
  <si>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</si>
  <si>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</si>
  <si>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</si>
  <si>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</si>
  <si>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</si>
  <si>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</si>
  <si>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</si>
  <si>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</si>
  <si>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</si>
  <si>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</si>
  <si>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</si>
  <si>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</si>
  <si>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</si>
  <si>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</si>
  <si>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</si>
  <si>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</si>
  <si>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</si>
  <si>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</si>
  <si>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</si>
  <si>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</si>
  <si>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</si>
  <si>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</si>
  <si>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</si>
  <si>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</si>
  <si>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</si>
  <si>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</si>
  <si>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</si>
  <si>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</si>
  <si>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</si>
  <si>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</si>
  <si>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</si>
  <si>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</si>
  <si>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</si>
  <si>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</si>
  <si>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</si>
  <si>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</si>
  <si>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</si>
  <si>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</si>
  <si>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</si>
  <si>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</si>
  <si>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</si>
  <si>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</si>
  <si>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</si>
  <si>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</si>
  <si>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</si>
  <si>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</si>
  <si>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</si>
  <si>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</si>
  <si>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</si>
  <si>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</si>
  <si>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</si>
  <si>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</si>
  <si>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</si>
  <si>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</si>
  <si>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</si>
  <si>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</si>
  <si>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</si>
  <si>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</si>
  <si>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</si>
  <si>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</si>
  <si>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</si>
  <si>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</si>
  <si>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</si>
  <si>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</si>
  <si>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</si>
  <si>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</si>
  <si>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</si>
  <si>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</si>
  <si>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</si>
  <si>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</si>
  <si>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</si>
  <si>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</si>
  <si>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</si>
  <si>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</si>
  <si>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</si>
  <si>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</si>
  <si>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</si>
  <si>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</si>
  <si>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</si>
  <si>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</si>
  <si>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</si>
  <si>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</si>
  <si>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</si>
  <si>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</si>
  <si>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</si>
  <si>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</si>
  <si>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</si>
  <si>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</si>
  <si>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</si>
  <si>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</si>
  <si>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</si>
  <si>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</si>
  <si>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</si>
  <si>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</si>
  <si>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</si>
  <si>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</si>
  <si>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</si>
  <si>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</si>
  <si>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</si>
  <si>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</si>
  <si>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</si>
  <si>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</si>
  <si>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</si>
  <si>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</si>
  <si>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</si>
  <si>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</si>
  <si>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</si>
  <si>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</si>
  <si>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</si>
  <si>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</si>
  <si>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</si>
  <si>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</si>
  <si>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</si>
  <si>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</si>
  <si>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</si>
  <si>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</si>
  <si>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</si>
  <si>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</si>
  <si>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</si>
  <si>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</si>
  <si>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</si>
  <si>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</si>
  <si>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</si>
  <si>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</si>
  <si>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</si>
  <si>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</si>
  <si>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</si>
  <si>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</si>
  <si>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</si>
  <si>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</si>
  <si>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</si>
  <si>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</si>
  <si>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</si>
  <si>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</si>
  <si>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</si>
  <si>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</si>
  <si>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</si>
  <si>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</si>
  <si>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</si>
  <si>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</si>
  <si>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</si>
  <si>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</si>
  <si>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</si>
  <si>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</si>
  <si>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</si>
  <si>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</si>
  <si>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</si>
  <si>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</si>
  <si>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</si>
  <si>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</si>
  <si>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</si>
  <si>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</si>
  <si>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</si>
  <si>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</si>
  <si>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</si>
  <si>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</si>
  <si>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</si>
  <si>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</si>
  <si>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</si>
  <si>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</si>
  <si>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</si>
  <si>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</si>
  <si>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</si>
  <si>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</si>
  <si>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</si>
  <si>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</si>
  <si>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</si>
  <si>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</si>
  <si>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</si>
  <si>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</si>
  <si>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</si>
  <si>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</si>
  <si>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</si>
  <si>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</si>
  <si>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</si>
  <si>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</si>
  <si>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</si>
  <si>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</si>
  <si>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</si>
  <si>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</si>
  <si>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</si>
  <si>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</si>
  <si>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</si>
  <si>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</si>
  <si>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</si>
  <si>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</si>
  <si>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</si>
  <si>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</si>
  <si>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</si>
  <si>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</si>
  <si>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</si>
  <si>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</si>
  <si>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</si>
  <si>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</si>
  <si>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</si>
  <si>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</si>
  <si>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</si>
  <si>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</si>
  <si>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</si>
  <si>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</si>
  <si>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</si>
  <si>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</si>
  <si>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</si>
  <si>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</si>
  <si>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</si>
  <si>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</si>
  <si>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</si>
  <si>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</si>
  <si>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</si>
  <si>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</si>
  <si>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</si>
  <si>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</si>
  <si>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</si>
  <si>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</si>
  <si>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</si>
  <si>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</si>
  <si>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</si>
  <si>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</si>
  <si>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</si>
  <si>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</si>
  <si>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</si>
  <si>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</si>
  <si>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</si>
  <si>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</si>
  <si>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</si>
  <si>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</si>
  <si>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</si>
  <si>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</si>
  <si>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</si>
  <si>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</si>
  <si>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</si>
  <si>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</si>
  <si>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</si>
  <si>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</si>
  <si>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</si>
  <si>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</si>
  <si>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</si>
  <si>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</si>
  <si>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</si>
  <si>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</si>
  <si>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</si>
  <si>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</si>
  <si>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</si>
  <si>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</si>
  <si>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</si>
  <si>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</si>
  <si>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</si>
  <si>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</si>
  <si>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</si>
  <si>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</si>
  <si>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</si>
  <si>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</si>
  <si>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</si>
  <si>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</si>
  <si>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</si>
  <si>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</si>
  <si>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</si>
  <si>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</si>
  <si>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</si>
  <si>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</si>
  <si>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</si>
  <si>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</si>
  <si>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</si>
  <si>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</si>
  <si>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</si>
  <si>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</si>
  <si>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</si>
  <si>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</si>
  <si>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</si>
  <si>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</si>
  <si>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</si>
  <si>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</si>
  <si>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</si>
  <si>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</si>
  <si>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</si>
  <si>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</si>
  <si>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</si>
  <si>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</si>
  <si>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</si>
  <si>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</si>
  <si>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</si>
  <si>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</si>
  <si>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</si>
  <si>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</si>
  <si>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</si>
  <si>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</si>
  <si>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</si>
  <si>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</si>
  <si>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</si>
  <si>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</si>
  <si>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</si>
  <si>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</si>
  <si>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</si>
  <si>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</si>
  <si>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</si>
  <si>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</si>
  <si>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</si>
  <si>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</si>
  <si>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</si>
  <si>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</si>
  <si>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</si>
  <si>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</si>
  <si>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</si>
  <si>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</si>
  <si>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</si>
  <si>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</si>
  <si>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</si>
  <si>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</si>
  <si>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</si>
  <si>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</si>
  <si>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</si>
  <si>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</si>
  <si>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</si>
  <si>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</si>
  <si>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</si>
  <si>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</si>
  <si>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</si>
  <si>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</si>
  <si>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</si>
  <si>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</si>
  <si>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</si>
  <si>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</si>
  <si>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</si>
  <si>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</si>
  <si>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</si>
  <si>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</si>
  <si>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</si>
  <si>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</si>
  <si>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</si>
  <si>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</si>
  <si>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</si>
  <si>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</si>
  <si>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</si>
  <si>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</si>
  <si>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</si>
  <si>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</si>
  <si>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</si>
  <si>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</si>
  <si>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</si>
  <si>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</si>
  <si>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</si>
  <si>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</si>
  <si>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</si>
  <si>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</si>
  <si>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</si>
  <si>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</si>
  <si>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</si>
  <si>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</si>
  <si>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</si>
  <si>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</si>
  <si>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</si>
  <si>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</si>
  <si>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</si>
  <si>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</si>
  <si>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</si>
  <si>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</si>
  <si>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</si>
  <si>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</si>
  <si>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</si>
  <si>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</si>
  <si>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</si>
  <si>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</si>
  <si>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</si>
  <si>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</si>
  <si>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</si>
  <si>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</si>
  <si>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</si>
  <si>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</si>
  <si>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</si>
  <si>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</si>
  <si>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</si>
  <si>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</si>
  <si>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</si>
  <si>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</si>
  <si>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</si>
  <si>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</si>
  <si>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</si>
  <si>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</si>
  <si>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</si>
  <si>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</si>
  <si>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</si>
  <si>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</si>
  <si>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</si>
  <si>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</si>
  <si>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</si>
  <si>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</si>
  <si>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</si>
  <si>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</si>
  <si>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</si>
  <si>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</si>
  <si>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</si>
  <si>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</si>
  <si>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</si>
  <si>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</si>
  <si>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</si>
  <si>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</si>
  <si>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</si>
  <si>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</si>
  <si>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</si>
  <si>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</si>
  <si>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</si>
  <si>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</si>
  <si>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</si>
  <si>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</si>
  <si>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</si>
  <si>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</si>
  <si>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</si>
  <si>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</si>
  <si>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</si>
  <si>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</si>
  <si>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</si>
  <si>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</si>
  <si>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</si>
  <si>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</si>
  <si>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</si>
  <si>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</si>
  <si>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</si>
  <si>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</si>
  <si>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</si>
  <si>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</si>
  <si>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</si>
  <si>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</si>
  <si>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</si>
  <si>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</si>
  <si>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</si>
  <si>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</si>
  <si>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</si>
  <si>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</si>
  <si>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</si>
  <si>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</si>
  <si>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</si>
  <si>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</si>
  <si>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</si>
  <si>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</si>
  <si>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</si>
  <si>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</si>
  <si>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</si>
  <si>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</si>
  <si>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</si>
  <si>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</si>
  <si>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</si>
  <si>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</si>
  <si>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</si>
  <si>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</si>
  <si>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</si>
  <si>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</si>
  <si>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</si>
  <si>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</si>
  <si>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</si>
  <si>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</si>
  <si>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</si>
  <si>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</si>
  <si>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</si>
  <si>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</si>
  <si>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</si>
  <si>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</si>
  <si>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</si>
  <si>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</si>
  <si>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</si>
  <si>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</si>
  <si>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</si>
  <si>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</si>
  <si>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</si>
  <si>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</si>
  <si>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</si>
  <si>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</si>
  <si>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</si>
  <si>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</si>
  <si>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</si>
  <si>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</si>
  <si>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</si>
  <si>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</si>
  <si>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</si>
  <si>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</si>
  <si>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</si>
  <si>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</si>
  <si>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</si>
  <si>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</si>
  <si>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</si>
  <si>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</si>
  <si>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</si>
  <si>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</si>
  <si>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</si>
  <si>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</si>
  <si>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</si>
  <si>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</si>
  <si>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</si>
  <si>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</si>
  <si>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</si>
  <si>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</si>
  <si>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</si>
  <si>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</si>
  <si>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</si>
  <si>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</si>
  <si>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</si>
  <si>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</si>
  <si>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</si>
  <si>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</si>
  <si>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</si>
  <si>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</si>
  <si>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</si>
  <si>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</si>
  <si>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</si>
  <si>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</si>
  <si>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</si>
  <si>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</si>
  <si>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</si>
  <si>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</si>
  <si>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</si>
  <si>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</si>
  <si>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</si>
  <si>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</si>
  <si>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</si>
  <si>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</si>
  <si>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</si>
  <si>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</si>
  <si>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</si>
  <si>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</si>
  <si>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</si>
  <si>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</si>
  <si>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</si>
  <si>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</si>
  <si>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</si>
  <si>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</si>
  <si>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</si>
  <si>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</si>
  <si>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</si>
  <si>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</si>
  <si>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</si>
  <si>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</si>
  <si>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</si>
  <si>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</si>
  <si>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</si>
  <si>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</si>
  <si>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</si>
  <si>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</si>
  <si>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</si>
  <si>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</si>
  <si>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</si>
  <si>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</si>
  <si>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</si>
  <si>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</si>
  <si>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</si>
  <si>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</si>
  <si>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</si>
  <si>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</si>
  <si>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</si>
  <si>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</si>
  <si>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</si>
  <si>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</si>
  <si>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</si>
  <si>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</si>
  <si>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</si>
  <si>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</si>
  <si>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</si>
  <si>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</si>
  <si>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</si>
  <si>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</si>
  <si>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</si>
  <si>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</si>
  <si>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</si>
  <si>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</si>
  <si>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</si>
  <si>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</si>
  <si>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</si>
  <si>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</si>
  <si>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</si>
  <si>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</si>
  <si>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</si>
  <si>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</si>
  <si>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</si>
  <si>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</si>
  <si>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</si>
  <si>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</si>
  <si>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</si>
  <si>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</si>
  <si>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</si>
  <si>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</si>
  <si>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</si>
  <si>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</si>
  <si>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</si>
  <si>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</si>
  <si>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</si>
  <si>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</si>
  <si>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</si>
  <si>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</si>
  <si>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</si>
  <si>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</si>
  <si>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</si>
  <si>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</si>
  <si>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</si>
  <si>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</si>
  <si>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</si>
  <si>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</si>
  <si>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</si>
  <si>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</si>
  <si>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</si>
  <si>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</si>
  <si>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</si>
  <si>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</si>
  <si>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</si>
  <si>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</si>
  <si>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</si>
  <si>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</si>
  <si>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</si>
  <si>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</si>
  <si>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</si>
  <si>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</si>
  <si>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</si>
  <si>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</si>
  <si>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</si>
  <si>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</si>
  <si>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</si>
  <si>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</si>
  <si>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</si>
  <si>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</si>
  <si>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</si>
  <si>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</si>
  <si>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</si>
  <si>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</si>
  <si>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</si>
  <si>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</si>
  <si>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</si>
  <si>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</si>
  <si>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</si>
  <si>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</si>
  <si>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</si>
  <si>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</si>
  <si>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</si>
  <si>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</si>
  <si>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</si>
  <si>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</si>
  <si>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</si>
  <si>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</si>
  <si>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</si>
  <si>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</si>
  <si>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</si>
  <si>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</si>
  <si>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</si>
  <si>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</si>
  <si>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</si>
  <si>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</si>
  <si>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</si>
  <si>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</si>
  <si>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</si>
  <si>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</si>
  <si>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</si>
  <si>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</si>
  <si>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</si>
  <si>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</si>
  <si>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</si>
  <si>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</si>
  <si>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</si>
  <si>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</si>
  <si>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</si>
  <si>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</si>
  <si>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</si>
  <si>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</si>
  <si>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</si>
  <si>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</si>
  <si>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</si>
  <si>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</si>
  <si>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</si>
  <si>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</si>
  <si>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</si>
  <si>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</si>
  <si>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</si>
  <si>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</si>
  <si>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</si>
  <si>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</si>
  <si>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</si>
  <si>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</si>
  <si>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</si>
  <si>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</si>
  <si>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</si>
  <si>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</si>
  <si>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</si>
  <si>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</si>
  <si>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</si>
  <si>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</si>
  <si>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</si>
  <si>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</si>
  <si>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</si>
  <si>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</si>
  <si>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</si>
  <si>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</si>
  <si>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</si>
  <si>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</si>
  <si>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</si>
  <si>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</si>
  <si>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</si>
  <si>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</si>
  <si>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</si>
  <si>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</si>
  <si>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</si>
  <si>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</si>
  <si>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</si>
  <si>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</si>
  <si>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</si>
  <si>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</si>
  <si>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</si>
  <si>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</si>
  <si>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</si>
  <si>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</si>
  <si>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</si>
  <si>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</si>
  <si>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</si>
  <si>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</si>
  <si>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</si>
  <si>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</si>
  <si>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</si>
  <si>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</si>
  <si>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</si>
  <si>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</si>
  <si>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</si>
  <si>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</si>
  <si>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</si>
  <si>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</si>
  <si>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</si>
  <si>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</si>
  <si>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</si>
  <si>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</si>
  <si>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</si>
  <si>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</si>
  <si>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</si>
  <si>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</si>
  <si>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</si>
  <si>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</si>
  <si>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</si>
  <si>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</si>
  <si>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</si>
  <si>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</si>
  <si>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</si>
  <si>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</si>
  <si>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</si>
  <si>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</si>
  <si>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</si>
  <si>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</si>
  <si>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</si>
  <si>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</si>
  <si>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</si>
  <si>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</si>
  <si>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</si>
  <si>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</si>
  <si>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</si>
  <si>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</si>
  <si>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</si>
  <si>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</si>
  <si>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</si>
  <si>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</si>
  <si>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</si>
  <si>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</si>
  <si>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</si>
  <si>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</si>
  <si>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</si>
  <si>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</si>
  <si>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</si>
  <si>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</si>
  <si>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</si>
  <si>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</si>
  <si>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</si>
  <si>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</si>
  <si>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</si>
  <si>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</si>
  <si>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</si>
  <si>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</si>
  <si>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</si>
  <si>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</si>
  <si>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</si>
  <si>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</si>
  <si>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</si>
  <si>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</si>
  <si>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</si>
  <si>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</si>
  <si>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</si>
  <si>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</si>
  <si>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</si>
  <si>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</si>
  <si>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</si>
  <si>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</si>
  <si>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</si>
  <si>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</si>
  <si>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</si>
  <si>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</si>
  <si>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</si>
  <si>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</si>
  <si>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</si>
  <si>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</si>
  <si>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</si>
  <si>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</si>
  <si>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</si>
  <si>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</si>
  <si>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</si>
  <si>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</si>
  <si>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</si>
  <si>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</si>
  <si>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</si>
  <si>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</si>
  <si>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</si>
  <si>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</si>
  <si>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</si>
  <si>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</si>
  <si>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</si>
  <si>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</si>
  <si>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</si>
  <si>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</si>
  <si>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</si>
  <si>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</si>
  <si>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</si>
  <si>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</si>
  <si>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</si>
  <si>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</si>
  <si>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</si>
  <si>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</si>
  <si>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</si>
  <si>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</si>
  <si>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</si>
  <si>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</si>
  <si>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</si>
  <si>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</si>
  <si>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</si>
  <si>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</si>
  <si>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</si>
  <si>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</si>
  <si>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</si>
  <si>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</si>
  <si>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</si>
  <si>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</si>
  <si>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</si>
  <si>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</si>
  <si>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</si>
  <si>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</si>
  <si>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</si>
  <si>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</si>
  <si>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</si>
  <si>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</si>
  <si>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</si>
  <si>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</si>
  <si>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</si>
  <si>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</si>
  <si>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</si>
  <si>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</si>
  <si>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</si>
  <si>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</si>
  <si>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</si>
  <si>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</si>
  <si>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</si>
  <si>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</si>
  <si>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</si>
  <si>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</si>
  <si>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</si>
  <si>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</si>
  <si>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</si>
  <si>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</si>
  <si>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</si>
  <si>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</si>
  <si>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</si>
  <si>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</si>
  <si>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</si>
  <si>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</si>
  <si>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</si>
  <si>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</si>
  <si>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</si>
  <si>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</si>
  <si>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</si>
  <si>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</si>
  <si>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</si>
  <si>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</si>
  <si>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</si>
  <si>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</si>
  <si>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</si>
  <si>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</si>
  <si>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</si>
  <si>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</si>
  <si>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</si>
  <si>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</si>
  <si>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</si>
  <si>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</si>
  <si>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</si>
  <si>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</si>
  <si>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</si>
  <si>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</si>
  <si>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</si>
  <si>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</si>
  <si>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</si>
  <si>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</si>
  <si>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</si>
  <si>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</si>
  <si>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</si>
  <si>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</si>
  <si>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</si>
  <si>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</si>
  <si>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</si>
  <si>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</si>
  <si>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</si>
  <si>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</si>
  <si>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</si>
  <si>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</si>
  <si>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</si>
  <si>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</si>
  <si>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</si>
  <si>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</si>
  <si>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</si>
  <si>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</si>
  <si>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</si>
  <si>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</si>
  <si>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</si>
  <si>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</si>
  <si>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</si>
  <si>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</si>
  <si>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</si>
  <si>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</si>
  <si>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</si>
  <si>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</si>
  <si>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</si>
  <si>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</si>
  <si>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</si>
  <si>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</si>
  <si>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</si>
  <si>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</si>
  <si>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</si>
  <si>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</si>
  <si>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</si>
  <si>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</si>
  <si>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</si>
  <si>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</si>
  <si>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</si>
  <si>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</si>
  <si>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</si>
  <si>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</si>
  <si>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</si>
  <si>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</si>
  <si>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</si>
  <si>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</si>
  <si>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</si>
  <si>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</si>
  <si>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</si>
  <si>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</si>
  <si>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</si>
  <si>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</si>
  <si>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</si>
  <si>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</si>
  <si>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</si>
  <si>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</si>
  <si>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</si>
  <si>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</si>
  <si>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</si>
  <si>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</si>
  <si>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</si>
  <si>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</si>
  <si>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</si>
  <si>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</si>
  <si>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</si>
  <si>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</si>
  <si>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</si>
  <si>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</si>
  <si>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</si>
  <si>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</si>
  <si>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</si>
  <si>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</si>
  <si>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</si>
  <si>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</si>
  <si>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</si>
  <si>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</si>
  <si>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</si>
  <si>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</si>
  <si>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</si>
  <si>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</si>
  <si>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</si>
  <si>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</si>
  <si>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</si>
  <si>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</si>
  <si>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</si>
  <si>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</si>
  <si>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</si>
  <si>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</si>
  <si>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</si>
  <si>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</si>
  <si>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</si>
  <si>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</si>
  <si>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</si>
  <si>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</si>
  <si>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</si>
  <si>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</si>
  <si>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</si>
  <si>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</si>
  <si>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</si>
  <si>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</si>
  <si>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</si>
  <si>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</si>
  <si>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</si>
  <si>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</si>
  <si>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</si>
  <si>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</si>
  <si>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</si>
  <si>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</si>
  <si>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</si>
  <si>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</si>
  <si>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</si>
  <si>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</si>
  <si>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</si>
  <si>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</si>
  <si>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</si>
  <si>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</si>
  <si>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</si>
  <si>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</si>
  <si>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</si>
  <si>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</si>
  <si>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</si>
  <si>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</si>
  <si>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</si>
  <si>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</si>
  <si>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</si>
  <si>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</si>
  <si>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</si>
  <si>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</si>
  <si>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</si>
  <si>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</si>
  <si>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</si>
  <si>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</si>
  <si>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</si>
  <si>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</si>
  <si>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</si>
  <si>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</si>
  <si>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</si>
  <si>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</si>
  <si>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</si>
  <si>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</si>
  <si>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</si>
  <si>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</si>
  <si>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</si>
  <si>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</si>
  <si>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</si>
  <si>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</si>
  <si>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</si>
  <si>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</si>
  <si>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</si>
  <si>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</si>
  <si>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</si>
  <si>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</si>
  <si>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</si>
  <si>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</si>
  <si>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</si>
  <si>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</si>
  <si>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</si>
  <si>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</si>
  <si>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</si>
  <si>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</si>
  <si>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</si>
  <si>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</si>
  <si>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</si>
  <si>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</si>
  <si>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</si>
  <si>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</si>
  <si>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</si>
  <si>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</si>
  <si>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</si>
  <si>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</si>
  <si>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</si>
  <si>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</si>
  <si>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</si>
  <si>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</si>
  <si>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</si>
  <si>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</si>
  <si>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</si>
  <si>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</si>
  <si>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</si>
  <si>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</si>
  <si>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</si>
  <si>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</si>
  <si>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</si>
  <si>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</si>
  <si>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</si>
  <si>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</si>
  <si>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</si>
  <si>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</si>
  <si>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</si>
  <si>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</si>
  <si>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</si>
  <si>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</si>
  <si>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</si>
  <si>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</si>
  <si>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</si>
  <si>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</si>
  <si>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</si>
  <si>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</si>
  <si>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</si>
  <si>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</si>
  <si>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</si>
  <si>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</si>
  <si>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</si>
  <si>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</si>
  <si>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</si>
  <si>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</si>
  <si>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</si>
  <si>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</si>
  <si>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</si>
  <si>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</si>
  <si>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</si>
  <si>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</si>
  <si>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</si>
  <si>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</si>
  <si>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</si>
  <si>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</si>
  <si>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</si>
  <si>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</si>
  <si>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</si>
  <si>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</si>
  <si>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</si>
  <si>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</si>
  <si>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</si>
  <si>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</si>
  <si>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</si>
  <si>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</si>
  <si>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</si>
  <si>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</si>
  <si>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</si>
  <si>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</si>
  <si>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</si>
  <si>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</si>
  <si>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</si>
  <si>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</si>
  <si>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</si>
  <si>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</si>
  <si>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</si>
  <si>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</si>
  <si>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</si>
  <si>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</si>
  <si>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</si>
  <si>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</si>
  <si>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</si>
  <si>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</si>
  <si>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</si>
  <si>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</si>
  <si>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</si>
  <si>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</si>
  <si>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</si>
  <si>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</si>
  <si>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</si>
  <si>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</si>
  <si>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</si>
  <si>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</si>
  <si>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</si>
  <si>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</si>
  <si>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</si>
  <si>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</si>
  <si>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</si>
  <si>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</si>
  <si>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</si>
  <si>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</si>
  <si>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</si>
  <si>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</si>
  <si>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</si>
  <si>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</si>
  <si>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</si>
  <si>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</si>
  <si>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</si>
  <si>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</si>
  <si>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</si>
  <si>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</si>
  <si>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</si>
  <si>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</si>
  <si>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</si>
  <si>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</si>
  <si>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</si>
  <si>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</si>
  <si>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</si>
  <si>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</si>
  <si>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</si>
  <si>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</si>
  <si>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</si>
  <si>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</si>
  <si>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</si>
  <si>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</si>
  <si>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</si>
  <si>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</si>
  <si>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</si>
  <si>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</si>
  <si>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</si>
  <si>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</si>
  <si>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</si>
  <si>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</si>
  <si>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</si>
  <si>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</si>
  <si>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</si>
  <si>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</si>
  <si>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</si>
  <si>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</si>
  <si>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</si>
  <si>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</si>
  <si>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</si>
  <si>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</si>
  <si>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</si>
  <si>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</si>
  <si>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</si>
  <si>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</si>
  <si>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</si>
  <si>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</si>
  <si>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</si>
  <si>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</si>
  <si>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</si>
  <si>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</si>
  <si>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</si>
  <si>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</si>
  <si>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</si>
  <si>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</si>
  <si>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</si>
  <si>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</si>
  <si>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</si>
  <si>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</si>
  <si>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</si>
  <si>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</si>
  <si>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</si>
  <si>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</si>
  <si>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</si>
  <si>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</si>
  <si>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</si>
  <si>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</si>
  <si>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</si>
  <si>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</si>
  <si>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</si>
  <si>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</si>
  <si>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</si>
  <si>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</si>
  <si>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</si>
  <si>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</si>
  <si>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</si>
  <si>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</si>
  <si>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</si>
  <si>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</si>
  <si>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</si>
  <si>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</si>
  <si>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</si>
  <si>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</si>
  <si>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</si>
  <si>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</si>
  <si>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</si>
  <si>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</si>
  <si>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</si>
  <si>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</si>
  <si>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</si>
  <si>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</si>
  <si>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</si>
  <si>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</si>
  <si>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</si>
  <si>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</si>
  <si>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</si>
  <si>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</si>
  <si>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</si>
  <si>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</si>
  <si>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</si>
  <si>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</si>
  <si>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</si>
  <si>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</si>
  <si>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</si>
  <si>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</si>
  <si>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</si>
  <si>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</si>
  <si>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</si>
  <si>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</si>
  <si>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</si>
  <si>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</si>
  <si>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</si>
  <si>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</si>
  <si>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</si>
  <si>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</si>
  <si>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</si>
  <si>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</si>
  <si>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</si>
  <si>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</si>
  <si>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</si>
  <si>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</si>
  <si>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</si>
  <si>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</si>
  <si>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</si>
  <si>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</si>
  <si>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</si>
  <si>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</si>
  <si>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</si>
  <si>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</si>
  <si>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</si>
  <si>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</si>
  <si>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</si>
  <si>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</si>
  <si>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</si>
  <si>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</si>
  <si>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</si>
  <si>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</si>
  <si>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</si>
  <si>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</si>
  <si>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</si>
  <si>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</si>
  <si>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</si>
  <si>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</si>
  <si>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</si>
  <si>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</si>
  <si>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</si>
  <si>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</si>
  <si>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</si>
  <si>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</si>
  <si>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</si>
  <si>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</si>
  <si>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</si>
  <si>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</si>
  <si>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</si>
  <si>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</si>
  <si>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</si>
  <si>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</si>
  <si>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</si>
  <si>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</si>
  <si>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</si>
  <si>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</si>
  <si>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</si>
  <si>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</si>
  <si>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</si>
  <si>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</si>
  <si>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</si>
  <si>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</si>
  <si>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</si>
  <si>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</si>
  <si>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</si>
  <si>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</si>
  <si>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</si>
  <si>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</si>
  <si>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</si>
  <si>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</si>
  <si>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</si>
  <si>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</si>
  <si>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</si>
  <si>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</si>
  <si>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</si>
  <si>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</si>
  <si>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</si>
  <si>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</si>
  <si>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</si>
  <si>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</si>
  <si>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</si>
  <si>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</si>
  <si>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</si>
  <si>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</si>
  <si>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</si>
  <si>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</si>
  <si>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</si>
  <si>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</si>
  <si>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</si>
  <si>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</si>
  <si>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</si>
  <si>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</si>
  <si>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</si>
  <si>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</si>
  <si>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</si>
  <si>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</si>
  <si>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</si>
  <si>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</si>
  <si>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</si>
  <si>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</si>
  <si>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</si>
  <si>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</si>
  <si>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</si>
  <si>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</si>
  <si>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</si>
  <si>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</si>
  <si>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</si>
  <si>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</si>
  <si>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</si>
  <si>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</si>
  <si>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</si>
  <si>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</si>
  <si>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</si>
  <si>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</si>
  <si>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</si>
  <si>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</si>
  <si>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</si>
  <si>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</si>
  <si>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</si>
  <si>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</si>
  <si>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</si>
  <si>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</si>
  <si>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</si>
  <si>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</si>
  <si>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</si>
  <si>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</si>
  <si>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</si>
  <si>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</si>
  <si>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</si>
  <si>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</si>
  <si>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</si>
  <si>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</si>
  <si>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</si>
  <si>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</si>
  <si>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</si>
  <si>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</si>
  <si>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</si>
  <si>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</si>
  <si>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</si>
  <si>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</si>
  <si>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</si>
  <si>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</si>
  <si>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</si>
  <si>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</si>
  <si>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</si>
  <si>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</si>
  <si>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</si>
  <si>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</si>
  <si>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</si>
  <si>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</si>
  <si>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</si>
  <si>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</si>
  <si>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</si>
  <si>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</si>
  <si>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</si>
  <si>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</si>
  <si>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</si>
  <si>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</si>
  <si>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</si>
  <si>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</si>
  <si>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</si>
  <si>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</si>
  <si>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</si>
  <si>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</si>
  <si>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</si>
  <si>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</si>
  <si>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</si>
  <si>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</si>
  <si>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</si>
  <si>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</si>
  <si>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</si>
  <si>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</si>
  <si>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</si>
  <si>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</si>
  <si>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</si>
  <si>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</si>
  <si>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</si>
  <si>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</si>
  <si>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</si>
  <si>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</si>
  <si>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</si>
  <si>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</si>
  <si>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</si>
  <si>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</si>
  <si>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</si>
  <si>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</si>
  <si>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</si>
  <si>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</si>
  <si>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</si>
  <si>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</si>
  <si>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</si>
  <si>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</si>
  <si>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</si>
  <si>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</si>
  <si>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</si>
  <si>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</si>
  <si>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</si>
  <si>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</si>
  <si>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</si>
  <si>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</si>
  <si>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</si>
  <si>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</si>
  <si>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</si>
  <si>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</si>
  <si>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</si>
  <si>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</si>
  <si>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</si>
  <si>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</si>
  <si>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</si>
  <si>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</si>
  <si>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</si>
  <si>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</si>
  <si>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</si>
  <si>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</si>
  <si>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</si>
  <si>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</si>
  <si>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</si>
  <si>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</si>
  <si>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</si>
  <si>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</si>
  <si>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</si>
  <si>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</si>
  <si>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</si>
  <si>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</si>
  <si>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</si>
  <si>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</si>
  <si>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</si>
  <si>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</si>
  <si>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</si>
  <si>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</si>
  <si>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</si>
  <si>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</si>
  <si>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</si>
  <si>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</si>
  <si>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</si>
  <si>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</si>
  <si>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</si>
  <si>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</si>
  <si>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</si>
  <si>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</si>
  <si>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</si>
  <si>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</si>
  <si>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</si>
  <si>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</si>
  <si>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</si>
  <si>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</si>
  <si>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</si>
  <si>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</si>
  <si>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</si>
  <si>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</si>
  <si>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</si>
  <si>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</si>
  <si>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</si>
  <si>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</si>
  <si>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</si>
  <si>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</si>
  <si>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</si>
  <si>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</si>
  <si>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</si>
  <si>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</si>
  <si>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</si>
  <si>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</si>
  <si>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</si>
  <si>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</si>
  <si>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</si>
  <si>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</si>
  <si>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</si>
  <si>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</si>
  <si>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</si>
  <si>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</si>
  <si>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</si>
  <si>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</si>
  <si>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</si>
  <si>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</si>
  <si>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</si>
  <si>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</si>
  <si>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</si>
  <si>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</si>
  <si>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</si>
  <si>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</si>
  <si>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</si>
  <si>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</si>
  <si>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</si>
  <si>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</si>
  <si>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</si>
  <si>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</si>
  <si>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</si>
  <si>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</si>
  <si>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</si>
  <si>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</si>
  <si>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</si>
  <si>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</si>
  <si>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</si>
  <si>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</si>
  <si>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</si>
  <si>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</si>
  <si>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</si>
  <si>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</si>
  <si>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</si>
  <si>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</si>
  <si>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</si>
  <si>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</si>
  <si>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</si>
  <si>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</si>
  <si>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</si>
  <si>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</si>
  <si>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</si>
  <si>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</si>
  <si>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</si>
  <si>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</si>
  <si>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</si>
  <si>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</si>
  <si>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</si>
  <si>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</si>
  <si>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</si>
  <si>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</si>
  <si>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</si>
  <si>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</si>
  <si>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</si>
  <si>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</si>
  <si>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</si>
  <si>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</si>
  <si>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</si>
  <si>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</si>
  <si>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</si>
  <si>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</si>
  <si>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</si>
  <si>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</si>
  <si>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</si>
  <si>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</si>
  <si>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</si>
  <si>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</si>
  <si>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</si>
  <si>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</si>
  <si>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</si>
  <si>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</si>
  <si>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</si>
  <si>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</si>
  <si>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</si>
  <si>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</si>
  <si>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</si>
  <si>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</si>
  <si>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</si>
  <si>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</si>
  <si>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</si>
  <si>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</si>
  <si>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</si>
  <si>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</si>
  <si>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</si>
  <si>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</si>
  <si>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</si>
  <si>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</si>
  <si>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</si>
  <si>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</si>
  <si>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</si>
  <si>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</si>
  <si>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</si>
  <si>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</si>
  <si>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</si>
  <si>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</si>
  <si>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</si>
  <si>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</si>
  <si>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</si>
  <si>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</si>
  <si>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</si>
  <si>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</si>
  <si>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</si>
  <si>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</si>
  <si>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</si>
  <si>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</si>
  <si>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</si>
  <si>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</si>
  <si>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</si>
  <si>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</si>
  <si>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</si>
  <si>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</si>
  <si>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</si>
  <si>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</si>
  <si>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</si>
  <si>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</si>
  <si>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</si>
  <si>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</si>
  <si>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</si>
  <si>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</si>
  <si>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</si>
  <si>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</si>
  <si>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</si>
  <si>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</si>
  <si>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</si>
  <si>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</si>
  <si>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</si>
  <si>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</si>
  <si>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</si>
  <si>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</si>
  <si>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</si>
  <si>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</si>
  <si>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</si>
  <si>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</si>
  <si>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</si>
  <si>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</si>
  <si>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</si>
  <si>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</si>
  <si>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</si>
  <si>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</si>
  <si>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</si>
  <si>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</si>
  <si>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</si>
  <si>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</si>
  <si>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</si>
  <si>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</si>
  <si>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</si>
  <si>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</si>
  <si>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</si>
  <si>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</si>
  <si>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</si>
  <si>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</si>
  <si>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</si>
  <si>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</si>
  <si>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</si>
  <si>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</si>
  <si>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</si>
  <si>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</si>
  <si>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</si>
  <si>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</si>
  <si>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</si>
  <si>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</si>
  <si>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</si>
  <si>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</si>
  <si>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</si>
  <si>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</si>
  <si>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</si>
  <si>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</si>
  <si>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</si>
  <si>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</si>
  <si>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</si>
  <si>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</si>
  <si>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</si>
  <si>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</si>
  <si>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</si>
  <si>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</si>
  <si>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</si>
  <si>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</si>
  <si>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</si>
  <si>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</si>
  <si>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</si>
  <si>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</si>
  <si>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</si>
  <si>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</si>
  <si>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</si>
  <si>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</si>
  <si>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</si>
  <si>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</si>
  <si>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</si>
  <si>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</si>
  <si>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</si>
  <si>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</si>
  <si>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</si>
  <si>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</si>
  <si>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</si>
  <si>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</si>
  <si>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</si>
  <si>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</si>
  <si>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</si>
  <si>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</si>
  <si>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</si>
  <si>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</si>
  <si>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</si>
  <si>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</si>
  <si>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</si>
  <si>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</si>
  <si>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</si>
  <si>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</si>
  <si>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</si>
  <si>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</si>
  <si>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</si>
  <si>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</si>
  <si>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</si>
  <si>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</si>
  <si>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</si>
  <si>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</si>
  <si>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</si>
  <si>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</si>
  <si>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</si>
  <si>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</si>
  <si>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</si>
  <si>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</si>
  <si>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</si>
  <si>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</si>
  <si>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</si>
  <si>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</si>
  <si>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</si>
  <si>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</si>
  <si>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</si>
  <si>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</si>
  <si>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</si>
  <si>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</si>
  <si>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</si>
  <si>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</si>
  <si>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</si>
  <si>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</si>
  <si>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</si>
  <si>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</si>
  <si>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</si>
  <si>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</si>
  <si>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</si>
  <si>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</si>
  <si>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</si>
  <si>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</si>
  <si>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</si>
  <si>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</si>
  <si>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</si>
  <si>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</si>
  <si>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</si>
  <si>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</si>
  <si>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</si>
  <si>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</si>
  <si>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</si>
  <si>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</si>
  <si>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</si>
  <si>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</si>
  <si>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</si>
  <si>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</si>
  <si>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</si>
  <si>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</si>
  <si>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</si>
  <si>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</si>
  <si>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</si>
  <si>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</si>
  <si>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</si>
  <si>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</si>
  <si>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</si>
  <si>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</si>
  <si>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</si>
  <si>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</si>
  <si>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</si>
  <si>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</si>
  <si>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</si>
  <si>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</si>
  <si>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</si>
  <si>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</si>
  <si>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</si>
  <si>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</si>
  <si>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</si>
  <si>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</si>
  <si>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</si>
  <si>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</si>
  <si>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</si>
  <si>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</si>
  <si>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</si>
  <si>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</si>
  <si>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</si>
  <si>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</si>
  <si>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</si>
  <si>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</si>
  <si>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</si>
  <si>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</si>
  <si>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</si>
  <si>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</si>
  <si>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</si>
  <si>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</si>
  <si>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</si>
  <si>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</si>
  <si>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</si>
  <si>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</si>
  <si>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</si>
  <si>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</si>
  <si>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</si>
  <si>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</si>
  <si>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</si>
  <si>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</si>
  <si>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</si>
  <si>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</si>
  <si>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</si>
  <si>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</si>
  <si>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</si>
  <si>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</si>
  <si>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</si>
  <si>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</si>
  <si>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</si>
  <si>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</si>
  <si>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</si>
  <si>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</si>
  <si>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</si>
  <si>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</si>
  <si>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</si>
  <si>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</si>
  <si>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</si>
  <si>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</si>
  <si>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</si>
  <si>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</si>
  <si>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</si>
  <si>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</si>
  <si>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</si>
  <si>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</si>
  <si>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</si>
  <si>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</si>
  <si>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</si>
  <si>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</si>
  <si>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</si>
  <si>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</si>
  <si>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</si>
  <si>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</si>
  <si>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</si>
  <si>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</si>
  <si>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</si>
  <si>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</si>
  <si>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</si>
  <si>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</si>
  <si>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</si>
  <si>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</si>
  <si>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</si>
  <si>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</si>
  <si>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</si>
  <si>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</si>
  <si>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</si>
  <si>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</si>
  <si>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</si>
  <si>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</si>
  <si>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</si>
  <si>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</si>
  <si>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</si>
  <si>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</si>
  <si>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</si>
  <si>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</si>
  <si>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</si>
  <si>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</si>
  <si>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</si>
  <si>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</si>
  <si>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</si>
  <si>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</si>
  <si>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</si>
  <si>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</si>
  <si>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</si>
  <si>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</si>
  <si>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</si>
  <si>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</si>
  <si>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</si>
  <si>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</si>
  <si>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</si>
  <si>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</si>
  <si>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</si>
  <si>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</si>
  <si>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</si>
  <si>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</si>
  <si>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</si>
  <si>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</si>
  <si>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</si>
  <si>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</si>
  <si>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</si>
  <si>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</si>
  <si>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</si>
  <si>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</si>
  <si>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</si>
  <si>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</si>
  <si>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</si>
  <si>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</si>
  <si>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</si>
  <si>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</si>
  <si>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</si>
  <si>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</si>
  <si>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</si>
  <si>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</si>
  <si>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</si>
  <si>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</si>
  <si>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</si>
  <si>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</si>
  <si>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</si>
  <si>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</si>
  <si>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</si>
  <si>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</si>
  <si>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</si>
  <si>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</si>
  <si>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</si>
  <si>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</si>
  <si>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</si>
  <si>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</si>
  <si>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</si>
  <si>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</si>
  <si>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</si>
  <si>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</si>
  <si>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</si>
  <si>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</si>
  <si>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</si>
  <si>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</si>
  <si>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</si>
  <si>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</si>
  <si>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</si>
  <si>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</si>
  <si>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</si>
  <si>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</si>
  <si>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</si>
  <si>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</si>
  <si>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</si>
  <si>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</si>
  <si>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</si>
  <si>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Isabellenhütte Heusler GmbH &amp; Co. KG</t>
  </si>
  <si>
    <t>Valid for all Products from Isabellenhütte</t>
  </si>
  <si>
    <t>18401</t>
  </si>
  <si>
    <t>ISA DE</t>
  </si>
  <si>
    <t>Eibacher Weg 3-5; 35683 Dillenburg</t>
  </si>
  <si>
    <t>Frank Schunder</t>
  </si>
  <si>
    <t>frank.schunder@isabellenhuette.de</t>
  </si>
  <si>
    <t>004927719348205</t>
  </si>
  <si>
    <t>Hermann-Josef Schmidt</t>
  </si>
  <si>
    <t>Doctor</t>
  </si>
  <si>
    <t>hermann-josef.schmidt@isabellenhuette.de</t>
  </si>
  <si>
    <t>00492771934204</t>
  </si>
  <si>
    <t>Only in circuit boards from business unit precision measurement</t>
  </si>
  <si>
    <t>Components and Measurement Area</t>
  </si>
  <si>
    <t>IMDS data show that 3TG is not present</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</si>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</sst>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00" fillId="0" borderId="19" xfId="0" applyNumberFormat="1" applyFont="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650000000000006" customHeight="1">
      <c r="A29" s="303"/>
      <c r="B29" s="292"/>
      <c r="C29" s="289"/>
      <c r="D29" s="310"/>
      <c r="E29" s="301"/>
      <c r="F29" s="165" t="s">
        <v>61</v>
      </c>
      <c r="G29" s="25"/>
    </row>
    <row r="30" spans="1:7" ht="62.6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6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26.75">
      <c r="A36" s="303"/>
      <c r="B36" s="293"/>
      <c r="C36" s="290"/>
      <c r="D36" s="311"/>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3">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3">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9">
        <v>44692</v>
      </c>
      <c r="E55" s="169" t="s">
        <v>15522</v>
      </c>
      <c r="F55" s="169" t="s">
        <v>15513</v>
      </c>
      <c r="G55" s="25"/>
    </row>
    <row r="56" spans="1:7" ht="56.25">
      <c r="A56" s="303"/>
      <c r="B56" s="203">
        <v>6.3</v>
      </c>
      <c r="C56" s="149" t="s">
        <v>13152</v>
      </c>
      <c r="D56" s="279">
        <v>45051</v>
      </c>
      <c r="E56" s="169" t="s">
        <v>15791</v>
      </c>
      <c r="F56" s="169" t="s">
        <v>15571</v>
      </c>
      <c r="G56" s="25"/>
    </row>
    <row r="57" spans="1:7" ht="13.5" thickBot="1">
      <c r="A57" s="304"/>
      <c r="B57" s="305" t="str">
        <f ca="1">OFFSET(L!$C$1,MATCH("General"&amp;"Cpy",L!$A:$A,0)-1,SL,,)</f>
        <v>© 2023 Responsible Minerals Initiative. All rights reserved.</v>
      </c>
      <c r="C57" s="305"/>
      <c r="D57" s="305"/>
      <c r="E57" s="305"/>
      <c r="F57" s="305"/>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F066DEA-E2E2-4610-8CCC-5B10BFFA99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77BB1C4-2348-40BE-BFE6-05A60D427E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7" zoomScale="80" zoomScaleNormal="80"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5.75">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15"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2" t="s">
        <v>15793</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8" t="str">
        <f ca="1">OFFSET(L!$C$1,MATCH("Declaration"&amp;ADDRESS(ROW(),COLUMN(),4)&amp;LEFT($D$9,1),L!$A:$A,0)-1,SL,,)</f>
        <v>Description of Scope:</v>
      </c>
      <c r="C10" s="122"/>
      <c r="D10" s="349" t="s">
        <v>15794</v>
      </c>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t="s">
        <v>15795</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t="s">
        <v>15796</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t="s">
        <v>15797</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15798</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0" t="s">
        <v>15799</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15800</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15801</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15802</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0" t="s">
        <v>15803</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t="s">
        <v>15804</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45061</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9" t="s">
        <v>15807</v>
      </c>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1" t="s">
        <v>488</v>
      </c>
      <c r="E29" s="322"/>
      <c r="F29" s="12"/>
      <c r="G29" s="329" t="s">
        <v>15805</v>
      </c>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1" t="s">
        <v>488</v>
      </c>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69"/>
      <c r="I37" s="369"/>
      <c r="J37" s="36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489</v>
      </c>
      <c r="E39" s="322"/>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489</v>
      </c>
      <c r="E40" s="322"/>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1" t="s">
        <v>489</v>
      </c>
      <c r="E41" s="322"/>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489</v>
      </c>
      <c r="E45" s="322"/>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t="s">
        <v>489</v>
      </c>
      <c r="E47" s="322"/>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489</v>
      </c>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1" t="s">
        <v>489</v>
      </c>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3" t="s">
        <v>15808</v>
      </c>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3" t="s">
        <v>15808</v>
      </c>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3" t="s">
        <v>15808</v>
      </c>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1" t="s">
        <v>488</v>
      </c>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1" t="s">
        <v>488</v>
      </c>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489</v>
      </c>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489</v>
      </c>
      <c r="E77" s="322"/>
      <c r="F77" s="57"/>
      <c r="G77" s="333"/>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489</v>
      </c>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488</v>
      </c>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489</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Yes</v>
      </c>
    </row>
    <row r="103" spans="2:7" ht="15.75" hidden="1">
      <c r="B103" s="239" t="s">
        <v>2483</v>
      </c>
      <c r="D103" s="286" t="str">
        <f>IF(AND(OR($D$28="Yes",$D$28=""),OR($D$34="Yes",$D$34="")),"No","")</f>
        <v>No</v>
      </c>
      <c r="E103" s="286" t="str">
        <f>IF(AND(OR($D$27="Yes",$D$27=""),OR($D$33="Yes",$D$33="")),"Greater than 90%","")</f>
        <v>Greater than 90%</v>
      </c>
      <c r="G103" s="286" t="str">
        <f>IF(OR($D$29="Yes",$D$29=""),"No","")</f>
        <v>No</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Yes</v>
      </c>
      <c r="E105" s="286" t="str">
        <f>IF(AND(OR($D$27="Yes",$D$27=""),OR($D$33="Yes",$D$33="")),"Greater than 50%","")</f>
        <v>Greater than 50%</v>
      </c>
    </row>
    <row r="106" spans="2:7" ht="15.75" hidden="1">
      <c r="B106" s="239" t="s">
        <v>12394</v>
      </c>
      <c r="D106" s="286" t="str">
        <f>IF(AND(OR($D$29="Yes",$D$29=""),OR($D$35="Yes",$D$35="")),"No","")</f>
        <v>No</v>
      </c>
      <c r="E106" s="286" t="str">
        <f>IF(AND(OR($D$27="Yes",$D$27=""),OR($D$33="Yes",$D$33="")),"50% or less","")</f>
        <v>50% or less</v>
      </c>
    </row>
    <row r="107" spans="2:7" ht="15.75" hidden="1">
      <c r="B107" s="239" t="s">
        <v>489</v>
      </c>
      <c r="D107" s="286" t="str">
        <f>IF(AND(OR($D$29="Yes",$D$29=""),OR($D$35="Yes",$D$35="")),"Unknown","")</f>
        <v>Unknown</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100%</v>
      </c>
    </row>
    <row r="115" spans="5:5" ht="15" hidden="1" customHeight="1">
      <c r="E115" s="286" t="str">
        <f>IF(AND(OR($D$29="Yes",$D$29=""),OR($D$35="Yes",$D$35="")),"Greater than 90%","")</f>
        <v>Greater than 90%</v>
      </c>
    </row>
    <row r="116" spans="5:5" ht="15" hidden="1" customHeight="1">
      <c r="E116" s="286" t="str">
        <f>IF(AND(OR($D$29="Yes",$D$29=""),OR($D$35="Yes",$D$35="")),"Greater than 75%","")</f>
        <v>Greater than 75%</v>
      </c>
    </row>
    <row r="117" spans="5:5" ht="15" hidden="1" customHeight="1">
      <c r="E117" s="286" t="str">
        <f>IF(AND(OR($D$29="Yes",$D$29=""),OR($D$35="Yes",$D$35="")),"Greater than 50%","")</f>
        <v>Greater than 50%</v>
      </c>
    </row>
    <row r="118" spans="5:5" ht="15" hidden="1" customHeight="1">
      <c r="E118" s="286" t="str">
        <f>IF(AND(OR($D$29="Yes",$D$29=""),OR($D$35="Yes",$D$35="")),"50% or less","")</f>
        <v>50% or less</v>
      </c>
    </row>
    <row r="119" spans="5:5" ht="15" hidden="1" customHeight="1">
      <c r="E119" s="286" t="str">
        <f>IF(AND(OR($D$29="Yes",$D$29=""),OR($D$35="Yes",$D$35="")),"None","")</f>
        <v>None</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3" stopIfTrue="1">
      <formula>AND(OR($D$26="No",AND($D$26="Yes",$D$32="No")),OR($D$27="No",AND($D$27="Yes",$D$33="No")),OR($D$28="No",AND($D$28="Yes",$D$34="No")),OR($D$29="No",AND($D$29="Yes",$D$35="No")))</formula>
    </cfRule>
    <cfRule type="expression" dxfId="78" priority="84" stopIfTrue="1">
      <formula>IF(D75="",TRUE)</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53" stopIfTrue="1">
      <formula>IF(AND(OR($D$26="Yes",$D$26=""),$D$32=""),1,0)</formula>
    </cfRule>
    <cfRule type="expression" dxfId="71" priority="140" stopIfTrue="1">
      <formula>$P$26=""</formula>
    </cfRule>
  </conditionalFormatting>
  <conditionalFormatting sqref="D33:E33">
    <cfRule type="expression" dxfId="70" priority="40" stopIfTrue="1">
      <formula>IF(AND(OR($D$27="Yes",$D$27=""),$D$33=""),1,0)</formula>
    </cfRule>
    <cfRule type="expression" dxfId="69" priority="41" stopIfTrue="1">
      <formula>$P$27=""</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0" stopIfTrue="1">
      <formula>$P$33=""</formula>
    </cfRule>
    <cfRule type="expression" dxfId="62" priority="11" stopIfTrue="1">
      <formula>$P$39=""</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5" stopIfTrue="1">
      <formula>$P$28=""</formula>
    </cfRule>
    <cfRule type="expression" dxfId="59" priority="6" stopIfTrue="1">
      <formula>$P$34=""</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1" stopIfTrue="1">
      <formula>$P$29=""</formula>
    </cfRule>
    <cfRule type="expression" dxfId="56" priority="2" stopIfTrue="1">
      <formula>$P$35=""</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86C9A40-9F84-40BB-B4D3-FD97B364C037}"/>
    <hyperlink ref="D20" r:id="rId4" xr:uid="{3B117023-B59A-4C88-95C7-23B3EC459A7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Q5" sqref="Q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394" t="s">
        <v>1421</v>
      </c>
      <c r="B5" s="182" t="str">
        <f ca="1">IF(LEN(A5)=0,"",INDEX('Smelter Look-up'!$A:$A,MATCH($A5,'Smelter Look-up'!$E:$E,0)))</f>
        <v>Tungsten</v>
      </c>
      <c r="C5" s="186" t="str">
        <f ca="1">IF(LEN(A5)=0,"",INDEX('Smelter Look-up'!$C:$C,MATCH($A5,'Smelter Look-up'!$E:$E,0)))</f>
        <v>H.C. Starck Tungsten GmbH</v>
      </c>
      <c r="D5" s="233"/>
      <c r="E5" s="182" t="str">
        <f ca="1">IF(ISERROR($V5),"",OFFSET('Smelter Look-up'!$D$4,$V5-4,0)&amp;"")</f>
        <v>GERMANY</v>
      </c>
      <c r="F5" s="182" t="str">
        <f ca="1">IF(ISERROR($V5),"",OFFSET('Smelter Look-up'!$E$4,$V5-4,0))</f>
        <v>CID002541</v>
      </c>
      <c r="G5" s="182" t="str">
        <f ca="1">IF(C5=$X$4,IF(ISERROR($V5),"Enter smelter details","RMI"),IF(ISERROR($V5),"",OFFSET('Smelter Look-up'!$F$4,$V5-4,0)))</f>
        <v>RMI</v>
      </c>
      <c r="H5" s="183">
        <f ca="1">IF(ISERROR($V5),"",OFFSET('Smelter Look-up'!$G$4,$V5-4,0))</f>
        <v>0</v>
      </c>
      <c r="I5" s="184" t="str">
        <f ca="1">IF(ISERROR($V5),"",OFFSET('Smelter Look-up'!$H$4,$V5-4,0))</f>
        <v>Goslar</v>
      </c>
      <c r="J5" s="184" t="str">
        <f ca="1">IF(ISERROR($V5),"",OFFSET('Smelter Look-up'!$I$4,$V5-4,0))</f>
        <v>Niedersachsen</v>
      </c>
      <c r="K5" s="225"/>
      <c r="L5" s="225"/>
      <c r="M5" s="225"/>
      <c r="N5" s="225"/>
      <c r="O5" s="225"/>
      <c r="P5" s="185" t="s">
        <v>490</v>
      </c>
      <c r="Q5" s="226" t="s">
        <v>15806</v>
      </c>
      <c r="R5" s="182" t="str">
        <f ca="1">IF(ISERROR($V5),"",OFFSET('Smelter Look-up'!$C$4,$V5-4,0)&amp;"")</f>
        <v>H.C. Starck Tungsten GmbH</v>
      </c>
      <c r="S5" s="181" t="str">
        <f t="shared" ref="S5" ca="1" si="0">IF(B5="","",IF(ISERROR(MATCH($E5,CL,0)),"Unknown",INDIRECT("'C'!$A$"&amp;MATCH($E5,CL,0)+1)))</f>
        <v>DE</v>
      </c>
      <c r="T5" s="181" t="str">
        <f ca="1">IF(B5="","",IF(ISERROR(MATCH($J5,SorP!$B$1:$B$6279,0)),"",INDIRECT("'SorP'!$A$"&amp;MATCH($J5,SorP!$B$1:$B$6279,0))))</f>
        <v>DE-NI</v>
      </c>
      <c r="U5" s="201"/>
      <c r="V5" s="227">
        <f ca="1">IF(C5="",NA(),IF(OR(C5="Smelter not listed",C5="Smelter not yet identified"),MATCH($B5&amp;$D5,'Smelter Look-up'!$J:$J,0),MATCH($B5&amp;$C5,'Smelter Look-up'!$J:$J,0)))</f>
        <v>589</v>
      </c>
      <c r="X5" s="228">
        <f t="shared" ref="X5" ca="1" si="1">IF(AND(C5="Smelter not listed",OR(LEN(D5)=0,LEN(E5)=0)),1,0)</f>
        <v>0</v>
      </c>
      <c r="AB5" s="229" t="str">
        <f t="shared" ref="AB5" ca="1" si="2">B5&amp;C5</f>
        <v>TungstenH.C. Starck Tungsten GmbH</v>
      </c>
    </row>
    <row r="6" spans="1:34" s="228" customFormat="1" ht="19.899999999999999" customHeight="1">
      <c r="A6" s="266" t="s">
        <v>784</v>
      </c>
      <c r="B6" s="182" t="str">
        <f ca="1">IF(LEN(A6)=0,"",INDEX('Smelter Look-up'!$A:$A,MATCH($A6,'Smelter Look-up'!$E:$E,0)))</f>
        <v>Tin</v>
      </c>
      <c r="C6" s="186" t="str">
        <f ca="1">IF(LEN(A6)=0,"",INDEX('Smelter Look-up'!$C:$C,MATCH($A6,'Smelter Look-up'!$E:$E,0)))</f>
        <v>Thaisarco</v>
      </c>
      <c r="D6" s="233"/>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5"/>
      <c r="L6" s="225"/>
      <c r="M6" s="225"/>
      <c r="N6" s="225"/>
      <c r="O6" s="225"/>
      <c r="P6" s="185" t="s">
        <v>490</v>
      </c>
      <c r="Q6" s="226"/>
      <c r="R6" s="182" t="str">
        <f ca="1">IF(ISERROR($V6),"",OFFSET('Smelter Look-up'!$C$4,$V6-4,0)&amp;"")</f>
        <v>Thaisarco</v>
      </c>
      <c r="S6" s="181" t="str">
        <f t="shared" ref="S6:S37" ca="1" si="3">IF(B6="","",IF(ISERROR(MATCH($E6,CL,0)),"Unknown",INDIRECT("'C'!$A$"&amp;MATCH($E6,CL,0)+1)))</f>
        <v>TH</v>
      </c>
      <c r="T6" s="181" t="str">
        <f ca="1">IF(B6="","",IF(ISERROR(MATCH($J6,SorP!$B$1:$B$6279,0)),"",INDIRECT("'SorP'!$A$"&amp;MATCH($J6,SorP!$B$1:$B$6279,0))))</f>
        <v>TH-83</v>
      </c>
      <c r="U6" s="201"/>
      <c r="V6" s="227">
        <f ca="1">IF(C6="",NA(),IF(OR(C6="Smelter not listed",C6="Smelter not yet identified"),MATCH($B6&amp;$D6,'Smelter Look-up'!$J:$J,0),MATCH($B6&amp;$C6,'Smelter Look-up'!$J:$J,0)))</f>
        <v>526</v>
      </c>
      <c r="X6" s="228">
        <f t="shared" ref="X6:X37" ca="1" si="4">IF(AND(C6="Smelter not listed",OR(LEN(D6)=0,LEN(E6)=0)),1,0)</f>
        <v>0</v>
      </c>
      <c r="AB6" s="229" t="str">
        <f t="shared" ref="AB6:AB37" ca="1" si="5">B6&amp;C6</f>
        <v>TinThaisarco</v>
      </c>
    </row>
    <row r="7" spans="1:34" s="228" customFormat="1" ht="19.899999999999999" customHeight="1">
      <c r="A7" s="266" t="s">
        <v>651</v>
      </c>
      <c r="B7" s="182" t="str">
        <f ca="1">IF(LEN(A7)=0,"",INDEX('Smelter Look-up'!$A:$A,MATCH($A7,'Smelter Look-up'!$E:$E,0)))</f>
        <v>Gold</v>
      </c>
      <c r="C7" s="186" t="str">
        <f ca="1">IF(LEN(A7)=0,"",INDEX('Smelter Look-up'!$C:$C,MATCH($A7,'Smelter Look-up'!$E:$E,0)))</f>
        <v>Agosi AG</v>
      </c>
      <c r="D7" s="233"/>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5"/>
      <c r="L7" s="225"/>
      <c r="M7" s="225"/>
      <c r="N7" s="225"/>
      <c r="O7" s="225"/>
      <c r="P7" s="185" t="s">
        <v>488</v>
      </c>
      <c r="Q7" s="226" t="s">
        <v>15806</v>
      </c>
      <c r="R7" s="182" t="str">
        <f ca="1">IF(ISERROR($V7),"",OFFSET('Smelter Look-up'!$C$4,$V7-4,0)&amp;"")</f>
        <v>Agosi AG</v>
      </c>
      <c r="S7" s="181" t="str">
        <f t="shared" ca="1" si="3"/>
        <v>DE</v>
      </c>
      <c r="T7" s="181" t="str">
        <f ca="1">IF(B7="","",IF(ISERROR(MATCH($J7,SorP!$B$1:$B$6279,0)),"",INDIRECT("'SorP'!$A$"&amp;MATCH($J7,SorP!$B$1:$B$6279,0))))</f>
        <v>DE-BW</v>
      </c>
      <c r="U7" s="201"/>
      <c r="V7" s="227">
        <f ca="1">IF(C7="",NA(),IF(OR(C7="Smelter not listed",C7="Smelter not yet identified"),MATCH($B7&amp;$D7,'Smelter Look-up'!$J:$J,0),MATCH($B7&amp;$C7,'Smelter Look-up'!$J:$J,0)))</f>
        <v>10</v>
      </c>
      <c r="X7" s="228">
        <f t="shared" ca="1" si="4"/>
        <v>0</v>
      </c>
      <c r="AB7" s="229" t="str">
        <f t="shared" ca="1" si="5"/>
        <v>GoldAgosi AG</v>
      </c>
    </row>
    <row r="8" spans="1:34" s="228" customFormat="1" ht="19.899999999999999" customHeight="1">
      <c r="A8" s="266" t="s">
        <v>781</v>
      </c>
      <c r="B8" s="182" t="str">
        <f ca="1">IF(LEN(A8)=0,"",INDEX('Smelter Look-up'!$A:$A,MATCH($A8,'Smelter Look-up'!$E:$E,0)))</f>
        <v>Tin</v>
      </c>
      <c r="C8" s="186" t="str">
        <f ca="1">IF(LEN(A8)=0,"",INDEX('Smelter Look-up'!$C:$C,MATCH($A8,'Smelter Look-up'!$E:$E,0)))</f>
        <v>PT Timah Tbk Mentok</v>
      </c>
      <c r="D8" s="233"/>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5"/>
      <c r="L8" s="225"/>
      <c r="M8" s="225"/>
      <c r="N8" s="225"/>
      <c r="O8" s="225"/>
      <c r="P8" s="185" t="s">
        <v>490</v>
      </c>
      <c r="Q8" s="226"/>
      <c r="R8" s="182" t="str">
        <f ca="1">IF(ISERROR($V8),"",OFFSET('Smelter Look-up'!$C$4,$V8-4,0)&amp;"")</f>
        <v>PT Timah Tbk Mentok</v>
      </c>
      <c r="S8" s="181" t="str">
        <f t="shared" ca="1" si="3"/>
        <v>ID</v>
      </c>
      <c r="T8" s="181" t="str">
        <f ca="1">IF(B8="","",IF(ISERROR(MATCH($J8,SorP!$B$1:$B$6279,0)),"",INDIRECT("'SorP'!$A$"&amp;MATCH($J8,SorP!$B$1:$B$6279,0))))</f>
        <v>ID-BB</v>
      </c>
      <c r="U8" s="201"/>
      <c r="V8" s="227">
        <f ca="1">IF(C8="",NA(),IF(OR(C8="Smelter not listed",C8="Smelter not yet identified"),MATCH($B8&amp;$D8,'Smelter Look-up'!$J:$J,0),MATCH($B8&amp;$C8,'Smelter Look-up'!$J:$J,0)))</f>
        <v>514</v>
      </c>
      <c r="X8" s="228">
        <f t="shared" ca="1" si="4"/>
        <v>0</v>
      </c>
      <c r="AB8" s="229" t="str">
        <f t="shared" ca="1" si="5"/>
        <v>TinPT Timah Tbk Mentok</v>
      </c>
    </row>
    <row r="9" spans="1:34" s="228" customFormat="1" ht="19.899999999999999" customHeight="1">
      <c r="A9" s="266" t="s">
        <v>780</v>
      </c>
      <c r="B9" s="182" t="str">
        <f ca="1">IF(LEN(A9)=0,"",INDEX('Smelter Look-up'!$A:$A,MATCH($A9,'Smelter Look-up'!$E:$E,0)))</f>
        <v>Tin</v>
      </c>
      <c r="C9" s="186" t="str">
        <f ca="1">IF(LEN(A9)=0,"",INDEX('Smelter Look-up'!$C:$C,MATCH($A9,'Smelter Look-up'!$E:$E,0)))</f>
        <v>PT Refined Bangka Tin</v>
      </c>
      <c r="D9" s="233"/>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5"/>
      <c r="L9" s="225"/>
      <c r="M9" s="225"/>
      <c r="N9" s="225"/>
      <c r="O9" s="225"/>
      <c r="P9" s="185" t="s">
        <v>490</v>
      </c>
      <c r="Q9" s="226"/>
      <c r="R9" s="182" t="str">
        <f ca="1">IF(ISERROR($V9),"",OFFSET('Smelter Look-up'!$C$4,$V9-4,0)&amp;"")</f>
        <v>PT Refined Bangka Tin</v>
      </c>
      <c r="S9" s="181" t="str">
        <f t="shared" ca="1" si="3"/>
        <v>ID</v>
      </c>
      <c r="T9" s="181" t="str">
        <f ca="1">IF(B9="","",IF(ISERROR(MATCH($J9,SorP!$B$1:$B$6279,0)),"",INDIRECT("'SorP'!$A$"&amp;MATCH($J9,SorP!$B$1:$B$6279,0))))</f>
        <v>ID-BB</v>
      </c>
      <c r="U9" s="201"/>
      <c r="V9" s="227">
        <f ca="1">IF(C9="",NA(),IF(OR(C9="Smelter not listed",C9="Smelter not yet identified"),MATCH($B9&amp;$D9,'Smelter Look-up'!$J:$J,0),MATCH($B9&amp;$C9,'Smelter Look-up'!$J:$J,0)))</f>
        <v>507</v>
      </c>
      <c r="X9" s="228">
        <f t="shared" ca="1" si="4"/>
        <v>0</v>
      </c>
      <c r="AB9" s="229" t="str">
        <f t="shared" ca="1" si="5"/>
        <v>TinPT Refined Bangka Tin</v>
      </c>
    </row>
    <row r="10" spans="1:34" s="228" customFormat="1" ht="19.899999999999999" customHeight="1">
      <c r="A10" s="266" t="s">
        <v>1815</v>
      </c>
      <c r="B10" s="182" t="str">
        <f ca="1">IF(LEN(A10)=0,"",INDEX('Smelter Look-up'!$A:$A,MATCH($A10,'Smelter Look-up'!$E:$E,0)))</f>
        <v>Tin</v>
      </c>
      <c r="C10" s="186" t="str">
        <f ca="1">IF(LEN(A10)=0,"",INDEX('Smelter Look-up'!$C:$C,MATCH($A10,'Smelter Look-up'!$E:$E,0)))</f>
        <v>Aurubis Beerse</v>
      </c>
      <c r="D10" s="233"/>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5"/>
      <c r="L10" s="225"/>
      <c r="M10" s="225"/>
      <c r="N10" s="225"/>
      <c r="O10" s="225"/>
      <c r="P10" s="185" t="s">
        <v>490</v>
      </c>
      <c r="Q10" s="226"/>
      <c r="R10" s="182" t="str">
        <f ca="1">IF(ISERROR($V10),"",OFFSET('Smelter Look-up'!$C$4,$V10-4,0)&amp;"")</f>
        <v>Aurubis Beerse</v>
      </c>
      <c r="S10" s="181" t="str">
        <f t="shared" ca="1" si="3"/>
        <v>BE</v>
      </c>
      <c r="T10" s="181" t="str">
        <f ca="1">IF(B10="","",IF(ISERROR(MATCH($J10,SorP!$B$1:$B$6279,0)),"",INDIRECT("'SorP'!$A$"&amp;MATCH($J10,SorP!$B$1:$B$6279,0))))</f>
        <v>BE-VAN</v>
      </c>
      <c r="U10" s="201"/>
      <c r="V10" s="227">
        <f ca="1">IF(C10="",NA(),IF(OR(C10="Smelter not listed",C10="Smelter not yet identified"),MATCH($B10&amp;$D10,'Smelter Look-up'!$J:$J,0),MATCH($B10&amp;$C10,'Smelter Look-up'!$J:$J,0)))</f>
        <v>394</v>
      </c>
      <c r="X10" s="228">
        <f t="shared" ca="1" si="4"/>
        <v>0</v>
      </c>
      <c r="AB10" s="229" t="str">
        <f t="shared" ca="1" si="5"/>
        <v>TinAurubis Beerse</v>
      </c>
    </row>
    <row r="11" spans="1:34" s="228" customFormat="1" ht="19.899999999999999" customHeight="1">
      <c r="A11" s="266" t="s">
        <v>773</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5"/>
      <c r="L11" s="225"/>
      <c r="M11" s="225"/>
      <c r="N11" s="225"/>
      <c r="O11" s="225"/>
      <c r="P11" s="185" t="s">
        <v>490</v>
      </c>
      <c r="Q11" s="226"/>
      <c r="R11" s="182" t="str">
        <f ca="1">IF(ISERROR($V11),"",OFFSET('Smelter Look-up'!$C$4,$V11-4,0)&amp;"")</f>
        <v>Minsur</v>
      </c>
      <c r="S11" s="181" t="str">
        <f t="shared" ca="1" si="3"/>
        <v>PE</v>
      </c>
      <c r="T11" s="181" t="str">
        <f ca="1">IF(B11="","",IF(ISERROR(MATCH($J11,SorP!$B$1:$B$6279,0)),"",INDIRECT("'SorP'!$A$"&amp;MATCH($J11,SorP!$B$1:$B$6279,0))))</f>
        <v>PE-ICA</v>
      </c>
      <c r="U11" s="201"/>
      <c r="V11" s="227">
        <f ca="1">IF(C11="",NA(),IF(OR(C11="Smelter not listed",C11="Smelter not yet identified"),MATCH($B11&amp;$D11,'Smelter Look-up'!$J:$J,0),MATCH($B11&amp;$C11,'Smelter Look-up'!$J:$J,0)))</f>
        <v>470</v>
      </c>
      <c r="X11" s="228">
        <f t="shared" ca="1" si="4"/>
        <v>0</v>
      </c>
      <c r="AB11" s="229" t="str">
        <f t="shared" ca="1" si="5"/>
        <v>TinMinsur</v>
      </c>
    </row>
    <row r="12" spans="1:34" s="228" customFormat="1" ht="19.899999999999999" customHeight="1">
      <c r="A12" s="266" t="s">
        <v>777</v>
      </c>
      <c r="B12" s="182" t="str">
        <f ca="1">IF(LEN(A12)=0,"",INDEX('Smelter Look-up'!$A:$A,MATCH($A12,'Smelter Look-up'!$E:$E,0)))</f>
        <v>Tin</v>
      </c>
      <c r="C12" s="186" t="str">
        <f ca="1">IF(LEN(A12)=0,"",INDEX('Smelter Look-up'!$C:$C,MATCH($A12,'Smelter Look-up'!$E:$E,0)))</f>
        <v>Operaciones Metalurgicas S.A.</v>
      </c>
      <c r="D12" s="233"/>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5"/>
      <c r="L12" s="225"/>
      <c r="M12" s="225"/>
      <c r="N12" s="225"/>
      <c r="O12" s="225"/>
      <c r="P12" s="185" t="s">
        <v>490</v>
      </c>
      <c r="Q12" s="226"/>
      <c r="R12" s="182" t="str">
        <f ca="1">IF(ISERROR($V12),"",OFFSET('Smelter Look-up'!$C$4,$V12-4,0)&amp;"")</f>
        <v>Operaciones Metalurgicas S.A.</v>
      </c>
      <c r="S12" s="181" t="str">
        <f t="shared" ca="1" si="3"/>
        <v>BO</v>
      </c>
      <c r="T12" s="181" t="str">
        <f ca="1">IF(B12="","",IF(ISERROR(MATCH($J12,SorP!$B$1:$B$6279,0)),"",INDIRECT("'SorP'!$A$"&amp;MATCH($J12,SorP!$B$1:$B$6279,0))))</f>
        <v>BO-O</v>
      </c>
      <c r="U12" s="201"/>
      <c r="V12" s="227">
        <f ca="1">IF(C12="",NA(),IF(OR(C12="Smelter not listed",C12="Smelter not yet identified"),MATCH($B12&amp;$D12,'Smelter Look-up'!$J:$J,0),MATCH($B12&amp;$C12,'Smelter Look-up'!$J:$J,0)))</f>
        <v>482</v>
      </c>
      <c r="X12" s="228">
        <f t="shared" ca="1" si="4"/>
        <v>0</v>
      </c>
      <c r="AB12" s="229" t="str">
        <f t="shared" ca="1" si="5"/>
        <v>TinOperaciones Metalurgicas S.A.</v>
      </c>
    </row>
    <row r="13" spans="1:34" s="228" customFormat="1" ht="19.899999999999999" customHeight="1">
      <c r="A13" s="266" t="s">
        <v>800</v>
      </c>
      <c r="B13" s="182" t="str">
        <f ca="1">IF(LEN(A13)=0,"",INDEX('Smelter Look-up'!$A:$A,MATCH($A13,'Smelter Look-up'!$E:$E,0)))</f>
        <v>Tin</v>
      </c>
      <c r="C13" s="186" t="str">
        <f ca="1">IF(LEN(A13)=0,"",INDEX('Smelter Look-up'!$C:$C,MATCH($A13,'Smelter Look-up'!$E:$E,0)))</f>
        <v>PT Timah Tbk Kundur</v>
      </c>
      <c r="D13" s="233"/>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5"/>
      <c r="L13" s="225"/>
      <c r="M13" s="225"/>
      <c r="N13" s="225"/>
      <c r="O13" s="225"/>
      <c r="P13" s="185" t="s">
        <v>490</v>
      </c>
      <c r="Q13" s="226"/>
      <c r="R13" s="182" t="str">
        <f ca="1">IF(ISERROR($V13),"",OFFSET('Smelter Look-up'!$C$4,$V13-4,0)&amp;"")</f>
        <v>PT Timah Tbk Kundur</v>
      </c>
      <c r="S13" s="181" t="str">
        <f t="shared" ca="1" si="3"/>
        <v>ID</v>
      </c>
      <c r="T13" s="181" t="str">
        <f ca="1">IF(B13="","",IF(ISERROR(MATCH($J13,SorP!$B$1:$B$6279,0)),"",INDIRECT("'SorP'!$A$"&amp;MATCH($J13,SorP!$B$1:$B$6279,0))))</f>
        <v>ID-RI</v>
      </c>
      <c r="U13" s="201"/>
      <c r="V13" s="227">
        <f ca="1">IF(C13="",NA(),IF(OR(C13="Smelter not listed",C13="Smelter not yet identified"),MATCH($B13&amp;$D13,'Smelter Look-up'!$J:$J,0),MATCH($B13&amp;$C13,'Smelter Look-up'!$J:$J,0)))</f>
        <v>513</v>
      </c>
      <c r="X13" s="228">
        <f t="shared" ca="1" si="4"/>
        <v>0</v>
      </c>
      <c r="AB13" s="229" t="str">
        <f t="shared" ca="1" si="5"/>
        <v>TinPT Timah Tbk Kundur</v>
      </c>
    </row>
    <row r="14" spans="1:34" s="228" customFormat="1" ht="19.899999999999999" customHeight="1">
      <c r="A14" s="266" t="s">
        <v>779</v>
      </c>
      <c r="B14" s="182" t="str">
        <f ca="1">IF(LEN(A14)=0,"",INDEX('Smelter Look-up'!$A:$A,MATCH($A14,'Smelter Look-up'!$E:$E,0)))</f>
        <v>Tin</v>
      </c>
      <c r="C14" s="186" t="str">
        <f ca="1">IF(LEN(A14)=0,"",INDEX('Smelter Look-up'!$C:$C,MATCH($A14,'Smelter Look-up'!$E:$E,0)))</f>
        <v>PT Mitra Stania Prima</v>
      </c>
      <c r="D14" s="233"/>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5"/>
      <c r="L14" s="225"/>
      <c r="M14" s="225"/>
      <c r="N14" s="225"/>
      <c r="O14" s="225"/>
      <c r="P14" s="185" t="s">
        <v>490</v>
      </c>
      <c r="Q14" s="226"/>
      <c r="R14" s="182" t="str">
        <f ca="1">IF(ISERROR($V14),"",OFFSET('Smelter Look-up'!$C$4,$V14-4,0)&amp;"")</f>
        <v>PT Mitra Stania Prima</v>
      </c>
      <c r="S14" s="181" t="str">
        <f t="shared" ca="1" si="3"/>
        <v>ID</v>
      </c>
      <c r="T14" s="181" t="str">
        <f ca="1">IF(B14="","",IF(ISERROR(MATCH($J14,SorP!$B$1:$B$6279,0)),"",INDIRECT("'SorP'!$A$"&amp;MATCH($J14,SorP!$B$1:$B$6279,0))))</f>
        <v>ID-BB</v>
      </c>
      <c r="U14" s="201"/>
      <c r="V14" s="227">
        <f ca="1">IF(C14="",NA(),IF(OR(C14="Smelter not listed",C14="Smelter not yet identified"),MATCH($B14&amp;$D14,'Smelter Look-up'!$J:$J,0),MATCH($B14&amp;$C14,'Smelter Look-up'!$J:$J,0)))</f>
        <v>500</v>
      </c>
      <c r="X14" s="228">
        <f t="shared" ca="1" si="4"/>
        <v>0</v>
      </c>
      <c r="AB14" s="229" t="str">
        <f t="shared" ca="1" si="5"/>
        <v>TinPT Mitra Stania Prima</v>
      </c>
    </row>
    <row r="15" spans="1:34" s="228" customFormat="1" ht="19.899999999999999" customHeight="1">
      <c r="A15" s="266" t="s">
        <v>15112</v>
      </c>
      <c r="B15" s="182" t="str">
        <f ca="1">IF(LEN(A15)=0,"",INDEX('Smelter Look-up'!$A:$A,MATCH($A15,'Smelter Look-up'!$E:$E,0)))</f>
        <v>Tin</v>
      </c>
      <c r="C15" s="186" t="str">
        <f ca="1">IF(LEN(A15)=0,"",INDEX('Smelter Look-up'!$C:$C,MATCH($A15,'Smelter Look-up'!$E:$E,0)))</f>
        <v>PT Prima Timah Utama</v>
      </c>
      <c r="D15" s="233"/>
      <c r="E15" s="182" t="str">
        <f ca="1">IF(ISERROR($V15),"",OFFSET('Smelter Look-up'!$D$4,$V15-4,0)&amp;"")</f>
        <v>INDONESIA</v>
      </c>
      <c r="F15" s="182" t="str">
        <f ca="1">IF(ISERROR($V15),"",OFFSET('Smelter Look-up'!$E$4,$V15-4,0))</f>
        <v>CID001458</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5"/>
      <c r="L15" s="225"/>
      <c r="M15" s="225"/>
      <c r="N15" s="225"/>
      <c r="O15" s="225"/>
      <c r="P15" s="185" t="s">
        <v>490</v>
      </c>
      <c r="Q15" s="226"/>
      <c r="R15" s="182" t="str">
        <f ca="1">IF(ISERROR($V15),"",OFFSET('Smelter Look-up'!$C$4,$V15-4,0)&amp;"")</f>
        <v>PT Prima Timah Utama</v>
      </c>
      <c r="S15" s="181" t="str">
        <f t="shared" ca="1" si="3"/>
        <v>ID</v>
      </c>
      <c r="T15" s="181" t="str">
        <f ca="1">IF(B15="","",IF(ISERROR(MATCH($J15,SorP!$B$1:$B$6279,0)),"",INDIRECT("'SorP'!$A$"&amp;MATCH($J15,SorP!$B$1:$B$6279,0))))</f>
        <v>ID-BB</v>
      </c>
      <c r="U15" s="201"/>
      <c r="V15" s="227">
        <f ca="1">IF(C15="",NA(),IF(OR(C15="Smelter not listed",C15="Smelter not yet identified"),MATCH($B15&amp;$D15,'Smelter Look-up'!$J:$J,0),MATCH($B15&amp;$C15,'Smelter Look-up'!$J:$J,0)))</f>
        <v>504</v>
      </c>
      <c r="X15" s="228">
        <f t="shared" ca="1" si="4"/>
        <v>0</v>
      </c>
      <c r="AB15" s="229" t="str">
        <f t="shared" ca="1" si="5"/>
        <v>TinPT Prima Timah Utama</v>
      </c>
    </row>
    <row r="16" spans="1:34" s="228" customFormat="1" ht="19.899999999999999" customHeight="1">
      <c r="A16" s="266" t="s">
        <v>15110</v>
      </c>
      <c r="B16" s="182" t="str">
        <f ca="1">IF(LEN(A16)=0,"",INDEX('Smelter Look-up'!$A:$A,MATCH($A16,'Smelter Look-up'!$E:$E,0)))</f>
        <v>Tin</v>
      </c>
      <c r="C16" s="186" t="str">
        <f ca="1">IF(LEN(A16)=0,"",INDEX('Smelter Look-up'!$C:$C,MATCH($A16,'Smelter Look-up'!$E:$E,0)))</f>
        <v>PT Menara Cipta Mulia</v>
      </c>
      <c r="D16" s="233"/>
      <c r="E16" s="182" t="str">
        <f ca="1">IF(ISERROR($V16),"",OFFSET('Smelter Look-up'!$D$4,$V16-4,0)&amp;"")</f>
        <v>INDONESIA</v>
      </c>
      <c r="F16" s="182" t="str">
        <f ca="1">IF(ISERROR($V16),"",OFFSET('Smelter Look-up'!$E$4,$V16-4,0))</f>
        <v>CID002835</v>
      </c>
      <c r="G16" s="182" t="str">
        <f ca="1">IF(C16=$X$4,IF(ISERROR($V16),"Enter smelter details","RMI"),IF(ISERROR($V16),"",OFFSET('Smelter Look-up'!$F$4,$V16-4,0)))</f>
        <v>RMI</v>
      </c>
      <c r="H16" s="183">
        <f ca="1">IF(ISERROR($V16),"",OFFSET('Smelter Look-up'!$G$4,$V16-4,0))</f>
        <v>0</v>
      </c>
      <c r="I16" s="184" t="str">
        <f ca="1">IF(ISERROR($V16),"",OFFSET('Smelter Look-up'!$H$4,$V16-4,0))</f>
        <v>Mentawak</v>
      </c>
      <c r="J16" s="184" t="str">
        <f ca="1">IF(ISERROR($V16),"",OFFSET('Smelter Look-up'!$I$4,$V16-4,0))</f>
        <v>Kepulauan Bangka Belitung</v>
      </c>
      <c r="K16" s="225"/>
      <c r="L16" s="225"/>
      <c r="M16" s="225"/>
      <c r="N16" s="225"/>
      <c r="O16" s="225"/>
      <c r="P16" s="185" t="s">
        <v>490</v>
      </c>
      <c r="Q16" s="226"/>
      <c r="R16" s="182" t="str">
        <f ca="1">IF(ISERROR($V16),"",OFFSET('Smelter Look-up'!$C$4,$V16-4,0)&amp;"")</f>
        <v>PT Menara Cipta Mulia</v>
      </c>
      <c r="S16" s="181" t="str">
        <f t="shared" ca="1" si="3"/>
        <v>ID</v>
      </c>
      <c r="T16" s="181" t="str">
        <f ca="1">IF(B16="","",IF(ISERROR(MATCH($J16,SorP!$B$1:$B$6279,0)),"",INDIRECT("'SorP'!$A$"&amp;MATCH($J16,SorP!$B$1:$B$6279,0))))</f>
        <v>ID-BB</v>
      </c>
      <c r="U16" s="201"/>
      <c r="V16" s="227">
        <f ca="1">IF(C16="",NA(),IF(OR(C16="Smelter not listed",C16="Smelter not yet identified"),MATCH($B16&amp;$D16,'Smelter Look-up'!$J:$J,0),MATCH($B16&amp;$C16,'Smelter Look-up'!$J:$J,0)))</f>
        <v>499</v>
      </c>
      <c r="X16" s="228">
        <f t="shared" ca="1" si="4"/>
        <v>0</v>
      </c>
      <c r="AB16" s="229" t="str">
        <f t="shared" ca="1" si="5"/>
        <v>TinPT Menara Cipta Mulia</v>
      </c>
    </row>
    <row r="17" spans="1:28" s="228" customFormat="1" ht="19.899999999999999" customHeight="1">
      <c r="A17" s="266" t="s">
        <v>1399</v>
      </c>
      <c r="B17" s="182" t="str">
        <f ca="1">IF(LEN(A17)=0,"",INDEX('Smelter Look-up'!$A:$A,MATCH($A17,'Smelter Look-up'!$E:$E,0)))</f>
        <v>Tin</v>
      </c>
      <c r="C17" s="186" t="str">
        <f ca="1">IF(LEN(A17)=0,"",INDEX('Smelter Look-up'!$C:$C,MATCH($A17,'Smelter Look-up'!$E:$E,0)))</f>
        <v>PT ATD Makmur Mandiri Jaya</v>
      </c>
      <c r="D17" s="233"/>
      <c r="E17" s="182" t="str">
        <f ca="1">IF(ISERROR($V17),"",OFFSET('Smelter Look-up'!$D$4,$V17-4,0)&amp;"")</f>
        <v>INDONESIA</v>
      </c>
      <c r="F17" s="182" t="str">
        <f ca="1">IF(ISERROR($V17),"",OFFSET('Smelter Look-up'!$E$4,$V17-4,0))</f>
        <v>CID002503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5"/>
      <c r="L17" s="225"/>
      <c r="M17" s="225"/>
      <c r="N17" s="225"/>
      <c r="O17" s="225"/>
      <c r="P17" s="185" t="s">
        <v>490</v>
      </c>
      <c r="Q17" s="226"/>
      <c r="R17" s="182" t="str">
        <f ca="1">IF(ISERROR($V17),"",OFFSET('Smelter Look-up'!$C$4,$V17-4,0)&amp;"")</f>
        <v>PT ATD Makmur Mandiri Jaya</v>
      </c>
      <c r="S17" s="181" t="str">
        <f t="shared" ca="1" si="3"/>
        <v>ID</v>
      </c>
      <c r="T17" s="181" t="str">
        <f ca="1">IF(B17="","",IF(ISERROR(MATCH($J17,SorP!$B$1:$B$6279,0)),"",INDIRECT("'SorP'!$A$"&amp;MATCH($J17,SorP!$B$1:$B$6279,0))))</f>
        <v>ID-BB</v>
      </c>
      <c r="U17" s="201"/>
      <c r="V17" s="227">
        <f ca="1">IF(C17="",NA(),IF(OR(C17="Smelter not listed",C17="Smelter not yet identified"),MATCH($B17&amp;$D17,'Smelter Look-up'!$J:$J,0),MATCH($B17&amp;$C17,'Smelter Look-up'!$J:$J,0)))</f>
        <v>488</v>
      </c>
      <c r="X17" s="228">
        <f t="shared" ca="1" si="4"/>
        <v>0</v>
      </c>
      <c r="AB17" s="229" t="str">
        <f t="shared" ca="1" si="5"/>
        <v>TinPT ATD Makmur Mandiri Jaya</v>
      </c>
    </row>
    <row r="18" spans="1:28" s="228" customFormat="1" ht="19.899999999999999" customHeight="1">
      <c r="A18" s="181" t="s">
        <v>705</v>
      </c>
      <c r="B18" s="182" t="str">
        <f ca="1">IF(LEN(A18)=0,"",INDEX('Smelter Look-up'!$A:$A,MATCH($A18,'Smelter Look-up'!$E:$E,0)))</f>
        <v>Gold</v>
      </c>
      <c r="C18" s="186" t="str">
        <f ca="1">IF(LEN(A18)=0,"",INDEX('Smelter Look-up'!$C:$C,MATCH($A18,'Smelter Look-up'!$E:$E,0)))</f>
        <v>Metalor Technologies S.A.</v>
      </c>
      <c r="D18" s="233"/>
      <c r="E18" s="182" t="str">
        <f ca="1">IF(ISERROR($V18),"",OFFSET('Smelter Look-up'!$D$4,$V18-4,0)&amp;"")</f>
        <v>SWITZERLAND</v>
      </c>
      <c r="F18" s="182" t="str">
        <f ca="1">IF(ISERROR($V18),"",OFFSET('Smelter Look-up'!$E$4,$V18-4,0))</f>
        <v>CID001153</v>
      </c>
      <c r="G18" s="182" t="str">
        <f ca="1">IF(C18=$X$4,IF(ISERROR($V18),"Enter smelter details","RMI"),IF(ISERROR($V18),"",OFFSET('Smelter Look-up'!$F$4,$V18-4,0)))</f>
        <v>RMI</v>
      </c>
      <c r="H18" s="183">
        <f ca="1">IF(ISERROR($V18),"",OFFSET('Smelter Look-up'!$G$4,$V18-4,0))</f>
        <v>0</v>
      </c>
      <c r="I18" s="184" t="str">
        <f ca="1">IF(ISERROR($V18),"",OFFSET('Smelter Look-up'!$H$4,$V18-4,0))</f>
        <v>Marin</v>
      </c>
      <c r="J18" s="184" t="str">
        <f ca="1">IF(ISERROR($V18),"",OFFSET('Smelter Look-up'!$I$4,$V18-4,0))</f>
        <v>Neuchâtel</v>
      </c>
      <c r="K18" s="225"/>
      <c r="L18" s="225"/>
      <c r="M18" s="225"/>
      <c r="N18" s="225"/>
      <c r="O18" s="225"/>
      <c r="P18" s="185" t="s">
        <v>490</v>
      </c>
      <c r="Q18" s="226" t="s">
        <v>15806</v>
      </c>
      <c r="R18" s="182" t="str">
        <f ca="1">IF(ISERROR($V18),"",OFFSET('Smelter Look-up'!$C$4,$V18-4,0)&amp;"")</f>
        <v>Metalor Technologies S.A.</v>
      </c>
      <c r="S18" s="181" t="str">
        <f t="shared" ca="1" si="3"/>
        <v>CH</v>
      </c>
      <c r="T18" s="181" t="str">
        <f ca="1">IF(B18="","",IF(ISERROR(MATCH($J18,SorP!$B$1:$B$6279,0)),"",INDIRECT("'SorP'!$A$"&amp;MATCH($J18,SorP!$B$1:$B$6279,0))))</f>
        <v>CH-NE</v>
      </c>
      <c r="U18" s="201"/>
      <c r="V18" s="227">
        <f ca="1">IF(C18="",NA(),IF(OR(C18="Smelter not listed",C18="Smelter not yet identified"),MATCH($B18&amp;$D18,'Smelter Look-up'!$J:$J,0),MATCH($B18&amp;$C18,'Smelter Look-up'!$J:$J,0)))</f>
        <v>175</v>
      </c>
      <c r="X18" s="228">
        <f t="shared" ca="1" si="4"/>
        <v>0</v>
      </c>
      <c r="AB18" s="229" t="str">
        <f t="shared" ca="1" si="5"/>
        <v>GoldMetalor Technologies S.A.</v>
      </c>
    </row>
    <row r="19" spans="1:28" s="228" customFormat="1" ht="20.25">
      <c r="A19" s="181" t="s">
        <v>736</v>
      </c>
      <c r="B19" s="182" t="str">
        <f ca="1">IF(LEN(A19)=0,"",INDEX('Smelter Look-up'!$A:$A,MATCH($A19,'Smelter Look-up'!$E:$E,0)))</f>
        <v>Gold</v>
      </c>
      <c r="C19" s="186" t="str">
        <f ca="1">IF(LEN(A19)=0,"",INDEX('Smelter Look-up'!$C:$C,MATCH($A19,'Smelter Look-up'!$E:$E,0)))</f>
        <v>Umicore S.A. Business Unit Precious Metals Refining</v>
      </c>
      <c r="D19" s="233"/>
      <c r="E19" s="182" t="str">
        <f ca="1">IF(ISERROR($V19),"",OFFSET('Smelter Look-up'!$D$4,$V19-4,0)&amp;"")</f>
        <v>BELGIUM</v>
      </c>
      <c r="F19" s="182" t="str">
        <f ca="1">IF(ISERROR($V19),"",OFFSET('Smelter Look-up'!$E$4,$V19-4,0))</f>
        <v>CID001980</v>
      </c>
      <c r="G19" s="182" t="str">
        <f ca="1">IF(C19=$X$4,IF(ISERROR($V19),"Enter smelter details","RMI"),IF(ISERROR($V19),"",OFFSET('Smelter Look-up'!$F$4,$V19-4,0)))</f>
        <v>RMI</v>
      </c>
      <c r="H19" s="183">
        <f ca="1">IF(ISERROR($V19),"",OFFSET('Smelter Look-up'!$G$4,$V19-4,0))</f>
        <v>0</v>
      </c>
      <c r="I19" s="184" t="str">
        <f ca="1">IF(ISERROR($V19),"",OFFSET('Smelter Look-up'!$H$4,$V19-4,0))</f>
        <v>Hoboken</v>
      </c>
      <c r="J19" s="184" t="str">
        <f ca="1">IF(ISERROR($V19),"",OFFSET('Smelter Look-up'!$I$4,$V19-4,0))</f>
        <v>Antwerpen</v>
      </c>
      <c r="K19" s="225"/>
      <c r="L19" s="225"/>
      <c r="M19" s="225"/>
      <c r="N19" s="225"/>
      <c r="O19" s="225"/>
      <c r="P19" s="185" t="s">
        <v>490</v>
      </c>
      <c r="Q19" s="226" t="s">
        <v>15806</v>
      </c>
      <c r="R19" s="182" t="str">
        <f ca="1">IF(ISERROR($V19),"",OFFSET('Smelter Look-up'!$C$4,$V19-4,0)&amp;"")</f>
        <v>Umicore S.A. Business Unit Precious Metals Refining</v>
      </c>
      <c r="S19" s="181" t="str">
        <f t="shared" ca="1" si="3"/>
        <v>BE</v>
      </c>
      <c r="T19" s="181" t="str">
        <f ca="1">IF(B19="","",IF(ISERROR(MATCH($J19,SorP!$B$1:$B$6279,0)),"",INDIRECT("'SorP'!$A$"&amp;MATCH($J19,SorP!$B$1:$B$6279,0))))</f>
        <v>BE-VAN</v>
      </c>
      <c r="U19" s="201"/>
      <c r="V19" s="227">
        <f ca="1">IF(C19="",NA(),IF(OR(C19="Smelter not listed",C19="Smelter not yet identified"),MATCH($B19&amp;$D19,'Smelter Look-up'!$J:$J,0),MATCH($B19&amp;$C19,'Smelter Look-up'!$J:$J,0)))</f>
        <v>293</v>
      </c>
      <c r="X19" s="228">
        <f t="shared" ca="1" si="4"/>
        <v>0</v>
      </c>
      <c r="AB19" s="229" t="str">
        <f t="shared" ca="1" si="5"/>
        <v>GoldUmicore S.A. Business Unit Precious Metals Refining</v>
      </c>
    </row>
    <row r="20" spans="1:28" s="228" customFormat="1" ht="20.25">
      <c r="A20" s="181" t="s">
        <v>654</v>
      </c>
      <c r="B20" s="182" t="str">
        <f ca="1">IF(LEN(A20)=0,"",INDEX('Smelter Look-up'!$A:$A,MATCH($A20,'Smelter Look-up'!$E:$E,0)))</f>
        <v>Gold</v>
      </c>
      <c r="C20" s="186" t="str">
        <f ca="1">IF(LEN(A20)=0,"",INDEX('Smelter Look-up'!$C:$C,MATCH($A20,'Smelter Look-up'!$E:$E,0)))</f>
        <v>Argor-Heraeus S.A.</v>
      </c>
      <c r="D20" s="233"/>
      <c r="E20" s="182" t="str">
        <f ca="1">IF(ISERROR($V20),"",OFFSET('Smelter Look-up'!$D$4,$V20-4,0)&amp;"")</f>
        <v>SWITZERLAND</v>
      </c>
      <c r="F20" s="182" t="str">
        <f ca="1">IF(ISERROR($V20),"",OFFSET('Smelter Look-up'!$E$4,$V20-4,0))</f>
        <v>CID000077</v>
      </c>
      <c r="G20" s="182" t="str">
        <f ca="1">IF(C20=$X$4,IF(ISERROR($V20),"Enter smelter details","RMI"),IF(ISERROR($V20),"",OFFSET('Smelter Look-up'!$F$4,$V20-4,0)))</f>
        <v>RMI</v>
      </c>
      <c r="H20" s="183">
        <f ca="1">IF(ISERROR($V20),"",OFFSET('Smelter Look-up'!$G$4,$V20-4,0))</f>
        <v>0</v>
      </c>
      <c r="I20" s="184" t="str">
        <f ca="1">IF(ISERROR($V20),"",OFFSET('Smelter Look-up'!$H$4,$V20-4,0))</f>
        <v>Mendrisio</v>
      </c>
      <c r="J20" s="184" t="str">
        <f ca="1">IF(ISERROR($V20),"",OFFSET('Smelter Look-up'!$I$4,$V20-4,0))</f>
        <v>Ticino</v>
      </c>
      <c r="K20" s="225"/>
      <c r="L20" s="225"/>
      <c r="M20" s="225"/>
      <c r="N20" s="225"/>
      <c r="O20" s="225"/>
      <c r="P20" s="185" t="s">
        <v>490</v>
      </c>
      <c r="Q20" s="226"/>
      <c r="R20" s="182" t="str">
        <f ca="1">IF(ISERROR($V20),"",OFFSET('Smelter Look-up'!$C$4,$V20-4,0)&amp;"")</f>
        <v>Argor-Heraeus S.A.</v>
      </c>
      <c r="S20" s="181" t="str">
        <f t="shared" ca="1" si="3"/>
        <v>CH</v>
      </c>
      <c r="T20" s="181" t="str">
        <f ca="1">IF(B20="","",IF(ISERROR(MATCH($J20,SorP!$B$1:$B$6279,0)),"",INDIRECT("'SorP'!$A$"&amp;MATCH($J20,SorP!$B$1:$B$6279,0))))</f>
        <v>CH-TI</v>
      </c>
      <c r="U20" s="201"/>
      <c r="V20" s="227">
        <f ca="1">IF(C20="",NA(),IF(OR(C20="Smelter not listed",C20="Smelter not yet identified"),MATCH($B20&amp;$D20,'Smelter Look-up'!$J:$J,0),MATCH($B20&amp;$C20,'Smelter Look-up'!$J:$J,0)))</f>
        <v>28</v>
      </c>
      <c r="X20" s="228">
        <f t="shared" ca="1" si="4"/>
        <v>0</v>
      </c>
      <c r="AB20" s="229" t="str">
        <f t="shared" ca="1" si="5"/>
        <v>GoldArgor-Heraeus S.A.</v>
      </c>
    </row>
    <row r="21" spans="1:28" s="228" customFormat="1" ht="20.25">
      <c r="A21" s="181" t="s">
        <v>658</v>
      </c>
      <c r="B21" s="182" t="str">
        <f ca="1">IF(LEN(A21)=0,"",INDEX('Smelter Look-up'!$A:$A,MATCH($A21,'Smelter Look-up'!$E:$E,0)))</f>
        <v>Gold</v>
      </c>
      <c r="C21" s="186" t="str">
        <f ca="1">IF(LEN(A21)=0,"",INDEX('Smelter Look-up'!$C:$C,MATCH($A21,'Smelter Look-up'!$E:$E,0)))</f>
        <v>Aurubis AG</v>
      </c>
      <c r="D21" s="233"/>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5"/>
      <c r="L21" s="225"/>
      <c r="M21" s="225"/>
      <c r="N21" s="225"/>
      <c r="O21" s="225"/>
      <c r="P21" s="185" t="s">
        <v>490</v>
      </c>
      <c r="Q21" s="226"/>
      <c r="R21" s="182" t="str">
        <f ca="1">IF(ISERROR($V21),"",OFFSET('Smelter Look-up'!$C$4,$V21-4,0)&amp;"")</f>
        <v>Aurubis AG</v>
      </c>
      <c r="S21" s="181" t="str">
        <f t="shared" ca="1" si="3"/>
        <v>DE</v>
      </c>
      <c r="T21" s="181" t="str">
        <f ca="1">IF(B21="","",IF(ISERROR(MATCH($J21,SorP!$B$1:$B$6279,0)),"",INDIRECT("'SorP'!$A$"&amp;MATCH($J21,SorP!$B$1:$B$6279,0))))</f>
        <v>DE-HH</v>
      </c>
      <c r="U21" s="201"/>
      <c r="V21" s="227">
        <f ca="1">IF(C21="",NA(),IF(OR(C21="Smelter not listed",C21="Smelter not yet identified"),MATCH($B21&amp;$D21,'Smelter Look-up'!$J:$J,0),MATCH($B21&amp;$C21,'Smelter Look-up'!$J:$J,0)))</f>
        <v>37</v>
      </c>
      <c r="X21" s="228">
        <f t="shared" ca="1" si="4"/>
        <v>0</v>
      </c>
      <c r="AB21" s="229" t="str">
        <f t="shared" ca="1" si="5"/>
        <v>GoldAurubis AG</v>
      </c>
    </row>
    <row r="22" spans="1:28" s="228" customFormat="1" ht="20.25">
      <c r="A22" s="181" t="s">
        <v>771</v>
      </c>
      <c r="B22" s="182" t="str">
        <f ca="1">IF(LEN(A22)=0,"",INDEX('Smelter Look-up'!$A:$A,MATCH($A22,'Smelter Look-up'!$E:$E,0)))</f>
        <v>Tin</v>
      </c>
      <c r="C22" s="186" t="str">
        <f ca="1">IF(LEN(A22)=0,"",INDEX('Smelter Look-up'!$C:$C,MATCH($A22,'Smelter Look-up'!$E:$E,0)))</f>
        <v>Malaysia Smelting Corporation (MSC)</v>
      </c>
      <c r="D22" s="233"/>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5"/>
      <c r="L22" s="225"/>
      <c r="M22" s="225"/>
      <c r="N22" s="225"/>
      <c r="O22" s="225"/>
      <c r="P22" s="185" t="s">
        <v>490</v>
      </c>
      <c r="Q22" s="226"/>
      <c r="R22" s="182" t="str">
        <f ca="1">IF(ISERROR($V22),"",OFFSET('Smelter Look-up'!$C$4,$V22-4,0)&amp;"")</f>
        <v>Malaysia Smelting Corporation (MSC)</v>
      </c>
      <c r="S22" s="181" t="str">
        <f t="shared" ca="1" si="3"/>
        <v>MY</v>
      </c>
      <c r="T22" s="181" t="str">
        <f ca="1">IF(B22="","",IF(ISERROR(MATCH($J22,SorP!$B$1:$B$6279,0)),"",INDIRECT("'SorP'!$A$"&amp;MATCH($J22,SorP!$B$1:$B$6279,0))))</f>
        <v>MY-07</v>
      </c>
      <c r="U22" s="201"/>
      <c r="V22" s="227">
        <f ca="1">IF(C22="",NA(),IF(OR(C22="Smelter not listed",C22="Smelter not yet identified"),MATCH($B22&amp;$D22,'Smelter Look-up'!$J:$J,0),MATCH($B22&amp;$C22,'Smelter Look-up'!$J:$J,0)))</f>
        <v>458</v>
      </c>
      <c r="X22" s="228">
        <f t="shared" ca="1" si="4"/>
        <v>0</v>
      </c>
      <c r="AB22" s="229" t="str">
        <f t="shared" ca="1" si="5"/>
        <v>TinMalaysia Smelting Corporation (MSC)</v>
      </c>
    </row>
    <row r="23" spans="1:28" s="228" customFormat="1" ht="20.25">
      <c r="A23" s="181" t="s">
        <v>785</v>
      </c>
      <c r="B23" s="182" t="str">
        <f ca="1">IF(LEN(A23)=0,"",INDEX('Smelter Look-up'!$A:$A,MATCH($A23,'Smelter Look-up'!$E:$E,0)))</f>
        <v>Tin</v>
      </c>
      <c r="C23" s="186" t="str">
        <f ca="1">IF(LEN(A23)=0,"",INDEX('Smelter Look-up'!$C:$C,MATCH($A23,'Smelter Look-up'!$E:$E,0)))</f>
        <v>White Solder Metalurgia e Mineracao Ltda.</v>
      </c>
      <c r="D23" s="233"/>
      <c r="E23" s="182" t="str">
        <f ca="1">IF(ISERROR($V23),"",OFFSET('Smelter Look-up'!$D$4,$V23-4,0)&amp;"")</f>
        <v>BRAZIL</v>
      </c>
      <c r="F23" s="182" t="str">
        <f ca="1">IF(ISERROR($V23),"",OFFSET('Smelter Look-up'!$E$4,$V23-4,0))</f>
        <v>CID002036</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5"/>
      <c r="L23" s="225"/>
      <c r="M23" s="225"/>
      <c r="N23" s="225"/>
      <c r="O23" s="225"/>
      <c r="P23" s="185" t="s">
        <v>490</v>
      </c>
      <c r="Q23" s="226"/>
      <c r="R23" s="182" t="str">
        <f ca="1">IF(ISERROR($V23),"",OFFSET('Smelter Look-up'!$C$4,$V23-4,0)&amp;"")</f>
        <v>White Solder Metalurgia e Mineracao Ltda.</v>
      </c>
      <c r="S23" s="181" t="str">
        <f t="shared" ca="1" si="3"/>
        <v>BR</v>
      </c>
      <c r="T23" s="181" t="str">
        <f ca="1">IF(B23="","",IF(ISERROR(MATCH($J23,SorP!$B$1:$B$6279,0)),"",INDIRECT("'SorP'!$A$"&amp;MATCH($J23,SorP!$B$1:$B$6279,0))))</f>
        <v>BR-RO</v>
      </c>
      <c r="U23" s="201"/>
      <c r="V23" s="227">
        <f ca="1">IF(C23="",NA(),IF(OR(C23="Smelter not listed",C23="Smelter not yet identified"),MATCH($B23&amp;$D23,'Smelter Look-up'!$J:$J,0),MATCH($B23&amp;$C23,'Smelter Look-up'!$J:$J,0)))</f>
        <v>535</v>
      </c>
      <c r="X23" s="228">
        <f t="shared" ca="1" si="4"/>
        <v>0</v>
      </c>
      <c r="AB23" s="229" t="str">
        <f t="shared" ca="1" si="5"/>
        <v>TinWhite Solder Metalurgia e Mineracao Ltda.</v>
      </c>
    </row>
    <row r="24" spans="1:28" s="228" customFormat="1" ht="20.25">
      <c r="A24" s="181" t="s">
        <v>779</v>
      </c>
      <c r="B24" s="182" t="str">
        <f ca="1">IF(LEN(A24)=0,"",INDEX('Smelter Look-up'!$A:$A,MATCH($A24,'Smelter Look-up'!$E:$E,0)))</f>
        <v>Tin</v>
      </c>
      <c r="C24" s="186" t="str">
        <f ca="1">IF(LEN(A24)=0,"",INDEX('Smelter Look-up'!$C:$C,MATCH($A24,'Smelter Look-up'!$E:$E,0)))</f>
        <v>PT Mitra Stania Prima</v>
      </c>
      <c r="D24" s="233"/>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5"/>
      <c r="L24" s="225"/>
      <c r="M24" s="225"/>
      <c r="N24" s="225"/>
      <c r="O24" s="225"/>
      <c r="P24" s="185" t="s">
        <v>490</v>
      </c>
      <c r="Q24" s="226"/>
      <c r="R24" s="182" t="str">
        <f ca="1">IF(ISERROR($V24),"",OFFSET('Smelter Look-up'!$C$4,$V24-4,0)&amp;"")</f>
        <v>PT Mitra Stania Prima</v>
      </c>
      <c r="S24" s="181" t="str">
        <f t="shared" ca="1" si="3"/>
        <v>ID</v>
      </c>
      <c r="T24" s="181" t="str">
        <f ca="1">IF(B24="","",IF(ISERROR(MATCH($J24,SorP!$B$1:$B$6279,0)),"",INDIRECT("'SorP'!$A$"&amp;MATCH($J24,SorP!$B$1:$B$6279,0))))</f>
        <v>ID-BB</v>
      </c>
      <c r="U24" s="201"/>
      <c r="V24" s="227">
        <f ca="1">IF(C24="",NA(),IF(OR(C24="Smelter not listed",C24="Smelter not yet identified"),MATCH($B24&amp;$D24,'Smelter Look-up'!$J:$J,0),MATCH($B24&amp;$C24,'Smelter Look-up'!$J:$J,0)))</f>
        <v>500</v>
      </c>
      <c r="X24" s="228">
        <f t="shared" ca="1" si="4"/>
        <v>0</v>
      </c>
      <c r="AB24" s="229" t="str">
        <f t="shared" ca="1" si="5"/>
        <v>TinPT Mitra Stania Prima</v>
      </c>
    </row>
    <row r="25" spans="1:28" s="228" customFormat="1" ht="20.25">
      <c r="A25" s="181" t="s">
        <v>2205</v>
      </c>
      <c r="B25" s="182" t="str">
        <f ca="1">IF(LEN(A25)=0,"",INDEX('Smelter Look-up'!$A:$A,MATCH($A25,'Smelter Look-up'!$E:$E,0)))</f>
        <v>Gold</v>
      </c>
      <c r="C25" s="186" t="str">
        <f ca="1">IF(LEN(A25)=0,"",INDEX('Smelter Look-up'!$C:$C,MATCH($A25,'Smelter Look-up'!$E:$E,0)))</f>
        <v>Ogussa Osterreichische Gold- und Silber-Scheideanstalt GmbH</v>
      </c>
      <c r="D25" s="233"/>
      <c r="E25" s="182" t="str">
        <f ca="1">IF(ISERROR($V25),"",OFFSET('Smelter Look-up'!$D$4,$V25-4,0)&amp;"")</f>
        <v>AUSTRIA</v>
      </c>
      <c r="F25" s="182" t="str">
        <f ca="1">IF(ISERROR($V25),"",OFFSET('Smelter Look-up'!$E$4,$V25-4,0))</f>
        <v>CID002779</v>
      </c>
      <c r="G25" s="182" t="str">
        <f ca="1">IF(C25=$X$4,IF(ISERROR($V25),"Enter smelter details","RMI"),IF(ISERROR($V25),"",OFFSET('Smelter Look-up'!$F$4,$V25-4,0)))</f>
        <v>RMI</v>
      </c>
      <c r="H25" s="183">
        <f ca="1">IF(ISERROR($V25),"",OFFSET('Smelter Look-up'!$G$4,$V25-4,0))</f>
        <v>0</v>
      </c>
      <c r="I25" s="184" t="str">
        <f ca="1">IF(ISERROR($V25),"",OFFSET('Smelter Look-up'!$H$4,$V25-4,0))</f>
        <v>Vienna</v>
      </c>
      <c r="J25" s="184" t="str">
        <f ca="1">IF(ISERROR($V25),"",OFFSET('Smelter Look-up'!$I$4,$V25-4,0))</f>
        <v>Wien</v>
      </c>
      <c r="K25" s="225"/>
      <c r="L25" s="225"/>
      <c r="M25" s="225"/>
      <c r="N25" s="225"/>
      <c r="O25" s="225"/>
      <c r="P25" s="185" t="s">
        <v>490</v>
      </c>
      <c r="Q25" s="226"/>
      <c r="R25" s="182" t="str">
        <f ca="1">IF(ISERROR($V25),"",OFFSET('Smelter Look-up'!$C$4,$V25-4,0)&amp;"")</f>
        <v>Ogussa Osterreichische Gold- und Silber-Scheideanstalt GmbH</v>
      </c>
      <c r="S25" s="181" t="str">
        <f t="shared" ca="1" si="3"/>
        <v>AT</v>
      </c>
      <c r="T25" s="181" t="str">
        <f ca="1">IF(B25="","",IF(ISERROR(MATCH($J25,SorP!$B$1:$B$6279,0)),"",INDIRECT("'SorP'!$A$"&amp;MATCH($J25,SorP!$B$1:$B$6279,0))))</f>
        <v>AT-9</v>
      </c>
      <c r="U25" s="201"/>
      <c r="V25" s="227">
        <f ca="1">IF(C25="",NA(),IF(OR(C25="Smelter not listed",C25="Smelter not yet identified"),MATCH($B25&amp;$D25,'Smelter Look-up'!$J:$J,0),MATCH($B25&amp;$C25,'Smelter Look-up'!$J:$J,0)))</f>
        <v>196</v>
      </c>
      <c r="X25" s="228">
        <f t="shared" ca="1" si="4"/>
        <v>0</v>
      </c>
      <c r="AB25" s="229" t="str">
        <f t="shared" ca="1" si="5"/>
        <v>GoldOgussa Osterreichische Gold- und Silber-Scheideanstalt GmbH</v>
      </c>
    </row>
    <row r="26" spans="1:28" s="228" customFormat="1" ht="20.25">
      <c r="A26" s="181" t="s">
        <v>662</v>
      </c>
      <c r="B26" s="182" t="str">
        <f ca="1">IF(LEN(A26)=0,"",INDEX('Smelter Look-up'!$A:$A,MATCH($A26,'Smelter Look-up'!$E:$E,0)))</f>
        <v>Gold</v>
      </c>
      <c r="C26" s="186" t="str">
        <f ca="1">IF(LEN(A26)=0,"",INDEX('Smelter Look-up'!$C:$C,MATCH($A26,'Smelter Look-up'!$E:$E,0)))</f>
        <v>C. Hafner GmbH + Co. KG</v>
      </c>
      <c r="D26" s="233"/>
      <c r="E26" s="182" t="str">
        <f ca="1">IF(ISERROR($V26),"",OFFSET('Smelter Look-up'!$D$4,$V26-4,0)&amp;"")</f>
        <v>GERMANY</v>
      </c>
      <c r="F26" s="182" t="str">
        <f ca="1">IF(ISERROR($V26),"",OFFSET('Smelter Look-up'!$E$4,$V26-4,0))</f>
        <v>CID000176</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5"/>
      <c r="L26" s="225"/>
      <c r="M26" s="225"/>
      <c r="N26" s="225"/>
      <c r="O26" s="225"/>
      <c r="P26" s="185" t="s">
        <v>490</v>
      </c>
      <c r="Q26" s="226"/>
      <c r="R26" s="182" t="str">
        <f ca="1">IF(ISERROR($V26),"",OFFSET('Smelter Look-up'!$C$4,$V26-4,0)&amp;"")</f>
        <v>C. Hafner GmbH + Co. KG</v>
      </c>
      <c r="S26" s="181" t="str">
        <f t="shared" ca="1" si="3"/>
        <v>DE</v>
      </c>
      <c r="T26" s="181" t="str">
        <f ca="1">IF(B26="","",IF(ISERROR(MATCH($J26,SorP!$B$1:$B$6279,0)),"",INDIRECT("'SorP'!$A$"&amp;MATCH($J26,SorP!$B$1:$B$6279,0))))</f>
        <v>DE-BW</v>
      </c>
      <c r="U26" s="201"/>
      <c r="V26" s="227">
        <f ca="1">IF(C26="",NA(),IF(OR(C26="Smelter not listed",C26="Smelter not yet identified"),MATCH($B26&amp;$D26,'Smelter Look-up'!$J:$J,0),MATCH($B26&amp;$C26,'Smelter Look-up'!$J:$J,0)))</f>
        <v>43</v>
      </c>
      <c r="X26" s="228">
        <f t="shared" ca="1" si="4"/>
        <v>0</v>
      </c>
      <c r="AB26" s="229" t="str">
        <f t="shared" ca="1" si="5"/>
        <v>GoldC. Hafner GmbH + Co. KG</v>
      </c>
    </row>
    <row r="27" spans="1:28" s="228" customFormat="1" ht="20.25">
      <c r="A27" s="181" t="s">
        <v>676</v>
      </c>
      <c r="B27" s="182" t="str">
        <f ca="1">IF(LEN(A27)=0,"",INDEX('Smelter Look-up'!$A:$A,MATCH($A27,'Smelter Look-up'!$E:$E,0)))</f>
        <v>Gold</v>
      </c>
      <c r="C27" s="186" t="str">
        <f ca="1">IF(LEN(A27)=0,"",INDEX('Smelter Look-up'!$C:$C,MATCH($A27,'Smelter Look-up'!$E:$E,0)))</f>
        <v>Heimerle + Meule GmbH</v>
      </c>
      <c r="D27" s="233"/>
      <c r="E27" s="182" t="str">
        <f ca="1">IF(ISERROR($V27),"",OFFSET('Smelter Look-up'!$D$4,$V27-4,0)&amp;"")</f>
        <v>GERMANY</v>
      </c>
      <c r="F27" s="182" t="str">
        <f ca="1">IF(ISERROR($V27),"",OFFSET('Smelter Look-up'!$E$4,$V27-4,0))</f>
        <v>CID000694</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5"/>
      <c r="L27" s="225"/>
      <c r="M27" s="225"/>
      <c r="N27" s="225"/>
      <c r="O27" s="225"/>
      <c r="P27" s="185" t="s">
        <v>490</v>
      </c>
      <c r="Q27" s="226"/>
      <c r="R27" s="182" t="str">
        <f ca="1">IF(ISERROR($V27),"",OFFSET('Smelter Look-up'!$C$4,$V27-4,0)&amp;"")</f>
        <v>Heimerle + Meule GmbH</v>
      </c>
      <c r="S27" s="181" t="str">
        <f t="shared" ca="1" si="3"/>
        <v>DE</v>
      </c>
      <c r="T27" s="181" t="str">
        <f ca="1">IF(B27="","",IF(ISERROR(MATCH($J27,SorP!$B$1:$B$6279,0)),"",INDIRECT("'SorP'!$A$"&amp;MATCH($J27,SorP!$B$1:$B$6279,0))))</f>
        <v>DE-BW</v>
      </c>
      <c r="U27" s="201"/>
      <c r="V27" s="227">
        <f ca="1">IF(C27="",NA(),IF(OR(C27="Smelter not listed",C27="Smelter not yet identified"),MATCH($B27&amp;$D27,'Smelter Look-up'!$J:$J,0),MATCH($B27&amp;$C27,'Smelter Look-up'!$J:$J,0)))</f>
        <v>101</v>
      </c>
      <c r="X27" s="228">
        <f t="shared" ca="1" si="4"/>
        <v>0</v>
      </c>
      <c r="AB27" s="229" t="str">
        <f t="shared" ca="1" si="5"/>
        <v>GoldHeimerle + Meule GmbH</v>
      </c>
    </row>
    <row r="28" spans="1:28" s="228" customFormat="1" ht="20.25">
      <c r="A28" s="181" t="s">
        <v>763</v>
      </c>
      <c r="B28" s="182" t="str">
        <f ca="1">IF(LEN(A28)=0,"",INDEX('Smelter Look-up'!$A:$A,MATCH($A28,'Smelter Look-up'!$E:$E,0)))</f>
        <v>Tin</v>
      </c>
      <c r="C28" s="186" t="str">
        <f ca="1">IF(LEN(A28)=0,"",INDEX('Smelter Look-up'!$C:$C,MATCH($A28,'Smelter Look-up'!$E:$E,0)))</f>
        <v>Alpha</v>
      </c>
      <c r="D28" s="233"/>
      <c r="E28" s="182" t="str">
        <f ca="1">IF(ISERROR($V28),"",OFFSET('Smelter Look-up'!$D$4,$V28-4,0)&amp;"")</f>
        <v>UNITED STATES OF AMERICA</v>
      </c>
      <c r="F28" s="182" t="str">
        <f ca="1">IF(ISERROR($V28),"",OFFSET('Smelter Look-up'!$E$4,$V28-4,0))</f>
        <v>CID000292</v>
      </c>
      <c r="G28" s="182" t="str">
        <f ca="1">IF(C28=$X$4,IF(ISERROR($V28),"Enter smelter details","RMI"),IF(ISERROR($V28),"",OFFSET('Smelter Look-up'!$F$4,$V28-4,0)))</f>
        <v>RMI</v>
      </c>
      <c r="H28" s="183">
        <f ca="1">IF(ISERROR($V28),"",OFFSET('Smelter Look-up'!$G$4,$V28-4,0))</f>
        <v>0</v>
      </c>
      <c r="I28" s="184" t="str">
        <f ca="1">IF(ISERROR($V28),"",OFFSET('Smelter Look-up'!$H$4,$V28-4,0))</f>
        <v>Altoona</v>
      </c>
      <c r="J28" s="184" t="str">
        <f ca="1">IF(ISERROR($V28),"",OFFSET('Smelter Look-up'!$I$4,$V28-4,0))</f>
        <v>Pennsylvania</v>
      </c>
      <c r="K28" s="225"/>
      <c r="L28" s="225"/>
      <c r="M28" s="225"/>
      <c r="N28" s="225"/>
      <c r="O28" s="225"/>
      <c r="P28" s="185" t="s">
        <v>490</v>
      </c>
      <c r="Q28" s="226"/>
      <c r="R28" s="182" t="str">
        <f ca="1">IF(ISERROR($V28),"",OFFSET('Smelter Look-up'!$C$4,$V28-4,0)&amp;"")</f>
        <v>Alpha</v>
      </c>
      <c r="S28" s="181" t="str">
        <f t="shared" ca="1" si="3"/>
        <v>US</v>
      </c>
      <c r="T28" s="181" t="str">
        <f ca="1">IF(B28="","",IF(ISERROR(MATCH($J28,SorP!$B$1:$B$6279,0)),"",INDIRECT("'SorP'!$A$"&amp;MATCH($J28,SorP!$B$1:$B$6279,0))))</f>
        <v>US-PA</v>
      </c>
      <c r="U28" s="201"/>
      <c r="V28" s="227">
        <f ca="1">IF(C28="",NA(),IF(OR(C28="Smelter not listed",C28="Smelter not yet identified"),MATCH($B28&amp;$D28,'Smelter Look-up'!$J:$J,0),MATCH($B28&amp;$C28,'Smelter Look-up'!$J:$J,0)))</f>
        <v>389</v>
      </c>
      <c r="X28" s="228">
        <f t="shared" ca="1" si="4"/>
        <v>0</v>
      </c>
      <c r="AB28" s="229" t="str">
        <f t="shared" ca="1" si="5"/>
        <v>TinAlpha</v>
      </c>
    </row>
    <row r="29" spans="1:28" s="228" customFormat="1" ht="20.25">
      <c r="A29" s="181" t="s">
        <v>770</v>
      </c>
      <c r="B29" s="182" t="str">
        <f ca="1">IF(LEN(A29)=0,"",INDEX('Smelter Look-up'!$A:$A,MATCH($A29,'Smelter Look-up'!$E:$E,0)))</f>
        <v>Tin</v>
      </c>
      <c r="C29" s="186" t="str">
        <f ca="1">IF(LEN(A29)=0,"",INDEX('Smelter Look-up'!$C:$C,MATCH($A29,'Smelter Look-up'!$E:$E,0)))</f>
        <v>China Tin Group Co., Ltd.</v>
      </c>
      <c r="D29" s="233"/>
      <c r="E29" s="182" t="str">
        <f ca="1">IF(ISERROR($V29),"",OFFSET('Smelter Look-up'!$D$4,$V29-4,0)&amp;"")</f>
        <v>CHINA</v>
      </c>
      <c r="F29" s="182" t="str">
        <f ca="1">IF(ISERROR($V29),"",OFFSET('Smelter Look-up'!$E$4,$V29-4,0))</f>
        <v>CID001070</v>
      </c>
      <c r="G29" s="182" t="str">
        <f ca="1">IF(C29=$X$4,IF(ISERROR($V29),"Enter smelter details","RMI"),IF(ISERROR($V29),"",OFFSET('Smelter Look-up'!$F$4,$V29-4,0)))</f>
        <v>RMI</v>
      </c>
      <c r="H29" s="183">
        <f ca="1">IF(ISERROR($V29),"",OFFSET('Smelter Look-up'!$G$4,$V29-4,0))</f>
        <v>0</v>
      </c>
      <c r="I29" s="184" t="str">
        <f ca="1">IF(ISERROR($V29),"",OFFSET('Smelter Look-up'!$H$4,$V29-4,0))</f>
        <v>Laibin</v>
      </c>
      <c r="J29" s="184" t="str">
        <f ca="1">IF(ISERROR($V29),"",OFFSET('Smelter Look-up'!$I$4,$V29-4,0))</f>
        <v>Guangxi Zhuangzu Zizhiqu</v>
      </c>
      <c r="K29" s="225"/>
      <c r="L29" s="225"/>
      <c r="M29" s="225"/>
      <c r="N29" s="225"/>
      <c r="O29" s="225"/>
      <c r="P29" s="185" t="s">
        <v>490</v>
      </c>
      <c r="Q29" s="226"/>
      <c r="R29" s="182" t="str">
        <f ca="1">IF(ISERROR($V29),"",OFFSET('Smelter Look-up'!$C$4,$V29-4,0)&amp;"")</f>
        <v>China Tin Group Co., Ltd.</v>
      </c>
      <c r="S29" s="181" t="str">
        <f t="shared" ca="1" si="3"/>
        <v>CN</v>
      </c>
      <c r="T29" s="181" t="str">
        <f ca="1">IF(B29="","",IF(ISERROR(MATCH($J29,SorP!$B$1:$B$6279,0)),"",INDIRECT("'SorP'!$A$"&amp;MATCH($J29,SorP!$B$1:$B$6279,0))))</f>
        <v>CN-GX</v>
      </c>
      <c r="U29" s="201"/>
      <c r="V29" s="227">
        <f ca="1">IF(C29="",NA(),IF(OR(C29="Smelter not listed",C29="Smelter not yet identified"),MATCH($B29&amp;$D29,'Smelter Look-up'!$J:$J,0),MATCH($B29&amp;$C29,'Smelter Look-up'!$J:$J,0)))</f>
        <v>403</v>
      </c>
      <c r="X29" s="228">
        <f t="shared" ca="1" si="4"/>
        <v>0</v>
      </c>
      <c r="AB29" s="229" t="str">
        <f t="shared" ca="1" si="5"/>
        <v>TinChina Tin Group Co., Ltd.</v>
      </c>
    </row>
    <row r="30" spans="1:28" s="228" customFormat="1" ht="20.25">
      <c r="A30" s="181" t="s">
        <v>766</v>
      </c>
      <c r="B30" s="182" t="str">
        <f ca="1">IF(LEN(A30)=0,"",INDEX('Smelter Look-up'!$A:$A,MATCH($A30,'Smelter Look-up'!$E:$E,0)))</f>
        <v>Tin</v>
      </c>
      <c r="C30" s="186" t="str">
        <f ca="1">IF(LEN(A30)=0,"",INDEX('Smelter Look-up'!$C:$C,MATCH($A30,'Smelter Look-up'!$E:$E,0)))</f>
        <v>Fenix Metals</v>
      </c>
      <c r="D30" s="233"/>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5"/>
      <c r="L30" s="225"/>
      <c r="M30" s="225"/>
      <c r="N30" s="225"/>
      <c r="O30" s="225"/>
      <c r="P30" s="185" t="s">
        <v>490</v>
      </c>
      <c r="Q30" s="226"/>
      <c r="R30" s="182" t="str">
        <f ca="1">IF(ISERROR($V30),"",OFFSET('Smelter Look-up'!$C$4,$V30-4,0)&amp;"")</f>
        <v>Fenix Metals</v>
      </c>
      <c r="S30" s="181" t="str">
        <f t="shared" ca="1" si="3"/>
        <v>PL</v>
      </c>
      <c r="T30" s="181" t="str">
        <f ca="1">IF(B30="","",IF(ISERROR(MATCH($J30,SorP!$B$1:$B$6279,0)),"",INDIRECT("'SorP'!$A$"&amp;MATCH($J30,SorP!$B$1:$B$6279,0))))</f>
        <v>PL-18</v>
      </c>
      <c r="U30" s="201"/>
      <c r="V30" s="227">
        <f ca="1">IF(C30="",NA(),IF(OR(C30="Smelter not listed",C30="Smelter not yet identified"),MATCH($B30&amp;$D30,'Smelter Look-up'!$J:$J,0),MATCH($B30&amp;$C30,'Smelter Look-up'!$J:$J,0)))</f>
        <v>430</v>
      </c>
      <c r="X30" s="228">
        <f t="shared" ca="1" si="4"/>
        <v>0</v>
      </c>
      <c r="AB30" s="229" t="str">
        <f t="shared" ca="1" si="5"/>
        <v>TinFenix Metals</v>
      </c>
    </row>
    <row r="31" spans="1:28" s="228" customFormat="1" ht="20.25">
      <c r="A31" s="181" t="s">
        <v>2529</v>
      </c>
      <c r="B31" s="182" t="str">
        <f ca="1">IF(LEN(A31)=0,"",INDEX('Smelter Look-up'!$A:$A,MATCH($A31,'Smelter Look-up'!$E:$E,0)))</f>
        <v>Tin</v>
      </c>
      <c r="C31" s="186" t="str">
        <f ca="1">IF(LEN(A31)=0,"",INDEX('Smelter Look-up'!$C:$C,MATCH($A31,'Smelter Look-up'!$E:$E,0)))</f>
        <v>Guangdong Hanhe Non-Ferrous Metal Co., Ltd.</v>
      </c>
      <c r="D31" s="233"/>
      <c r="E31" s="182" t="str">
        <f ca="1">IF(ISERROR($V31),"",OFFSET('Smelter Look-up'!$D$4,$V31-4,0)&amp;"")</f>
        <v>CHINA</v>
      </c>
      <c r="F31" s="182" t="str">
        <f ca="1">IF(ISERROR($V31),"",OFFSET('Smelter Look-up'!$E$4,$V31-4,0))</f>
        <v>CID003116</v>
      </c>
      <c r="G31" s="182" t="str">
        <f ca="1">IF(C31=$X$4,IF(ISERROR($V31),"Enter smelter details","RMI"),IF(ISERROR($V31),"",OFFSET('Smelter Look-up'!$F$4,$V31-4,0)))</f>
        <v>RMI</v>
      </c>
      <c r="H31" s="183">
        <f ca="1">IF(ISERROR($V31),"",OFFSET('Smelter Look-up'!$G$4,$V31-4,0))</f>
        <v>0</v>
      </c>
      <c r="I31" s="184" t="str">
        <f ca="1">IF(ISERROR($V31),"",OFFSET('Smelter Look-up'!$H$4,$V31-4,0))</f>
        <v>Chaozhou</v>
      </c>
      <c r="J31" s="184" t="str">
        <f ca="1">IF(ISERROR($V31),"",OFFSET('Smelter Look-up'!$I$4,$V31-4,0))</f>
        <v>Guangdong Sheng</v>
      </c>
      <c r="K31" s="225"/>
      <c r="L31" s="225"/>
      <c r="M31" s="225"/>
      <c r="N31" s="225"/>
      <c r="O31" s="225"/>
      <c r="P31" s="185" t="s">
        <v>490</v>
      </c>
      <c r="Q31" s="226"/>
      <c r="R31" s="182" t="str">
        <f ca="1">IF(ISERROR($V31),"",OFFSET('Smelter Look-up'!$C$4,$V31-4,0)&amp;"")</f>
        <v>Guangdong Hanhe Non-Ferrous Metal Co., Ltd.</v>
      </c>
      <c r="S31" s="181" t="str">
        <f t="shared" ca="1" si="3"/>
        <v>CN</v>
      </c>
      <c r="T31" s="181" t="str">
        <f ca="1">IF(B31="","",IF(ISERROR(MATCH($J31,SorP!$B$1:$B$6279,0)),"",INDIRECT("'SorP'!$A$"&amp;MATCH($J31,SorP!$B$1:$B$6279,0))))</f>
        <v>CN-GD</v>
      </c>
      <c r="U31" s="201"/>
      <c r="V31" s="227">
        <f ca="1">IF(C31="",NA(),IF(OR(C31="Smelter not listed",C31="Smelter not yet identified"),MATCH($B31&amp;$D31,'Smelter Look-up'!$J:$J,0),MATCH($B31&amp;$C31,'Smelter Look-up'!$J:$J,0)))</f>
        <v>442</v>
      </c>
      <c r="X31" s="228">
        <f t="shared" ca="1" si="4"/>
        <v>0</v>
      </c>
      <c r="AB31" s="229" t="str">
        <f t="shared" ca="1" si="5"/>
        <v>TinGuangdong Hanhe Non-Ferrous Metal Co., Ltd.</v>
      </c>
    </row>
    <row r="32" spans="1:28" s="228" customFormat="1" ht="20.25">
      <c r="A32" s="181" t="s">
        <v>1788</v>
      </c>
      <c r="B32" s="182" t="str">
        <f ca="1">IF(LEN(A32)=0,"",INDEX('Smelter Look-up'!$A:$A,MATCH($A32,'Smelter Look-up'!$E:$E,0)))</f>
        <v>Tin</v>
      </c>
      <c r="C32" s="186" t="str">
        <f ca="1">IF(LEN(A32)=0,"",INDEX('Smelter Look-up'!$C:$C,MATCH($A32,'Smelter Look-up'!$E:$E,0)))</f>
        <v>Jiangxi New Nanshan Technology Ltd.</v>
      </c>
      <c r="D32" s="233"/>
      <c r="E32" s="182" t="str">
        <f ca="1">IF(ISERROR($V32),"",OFFSET('Smelter Look-up'!$D$4,$V32-4,0)&amp;"")</f>
        <v>CHINA</v>
      </c>
      <c r="F32" s="182" t="str">
        <f ca="1">IF(ISERROR($V32),"",OFFSET('Smelter Look-up'!$E$4,$V32-4,0))</f>
        <v>CID001231</v>
      </c>
      <c r="G32" s="182" t="str">
        <f ca="1">IF(C32=$X$4,IF(ISERROR($V32),"Enter smelter details","RMI"),IF(ISERROR($V32),"",OFFSET('Smelter Look-up'!$F$4,$V32-4,0)))</f>
        <v>RMI</v>
      </c>
      <c r="H32" s="183">
        <f ca="1">IF(ISERROR($V32),"",OFFSET('Smelter Look-up'!$G$4,$V32-4,0))</f>
        <v>0</v>
      </c>
      <c r="I32" s="184" t="str">
        <f ca="1">IF(ISERROR($V32),"",OFFSET('Smelter Look-up'!$H$4,$V32-4,0))</f>
        <v>Ganzhou</v>
      </c>
      <c r="J32" s="184" t="str">
        <f ca="1">IF(ISERROR($V32),"",OFFSET('Smelter Look-up'!$I$4,$V32-4,0))</f>
        <v>Jiangxi Sheng</v>
      </c>
      <c r="K32" s="225"/>
      <c r="L32" s="225"/>
      <c r="M32" s="225"/>
      <c r="N32" s="225"/>
      <c r="O32" s="225"/>
      <c r="P32" s="185" t="s">
        <v>490</v>
      </c>
      <c r="Q32" s="226"/>
      <c r="R32" s="182" t="str">
        <f ca="1">IF(ISERROR($V32),"",OFFSET('Smelter Look-up'!$C$4,$V32-4,0)&amp;"")</f>
        <v>Jiangxi New Nanshan Technology Ltd.</v>
      </c>
      <c r="S32" s="181" t="str">
        <f t="shared" ca="1" si="3"/>
        <v>CN</v>
      </c>
      <c r="T32" s="181" t="str">
        <f ca="1">IF(B32="","",IF(ISERROR(MATCH($J32,SorP!$B$1:$B$6279,0)),"",INDIRECT("'SorP'!$A$"&amp;MATCH($J32,SorP!$B$1:$B$6279,0))))</f>
        <v>CN-JX</v>
      </c>
      <c r="U32" s="201"/>
      <c r="V32" s="227">
        <f ca="1">IF(C32="",NA(),IF(OR(C32="Smelter not listed",C32="Smelter not yet identified"),MATCH($B32&amp;$D32,'Smelter Look-up'!$J:$J,0),MATCH($B32&amp;$C32,'Smelter Look-up'!$J:$J,0)))</f>
        <v>450</v>
      </c>
      <c r="X32" s="228">
        <f t="shared" ca="1" si="4"/>
        <v>0</v>
      </c>
      <c r="AB32" s="229" t="str">
        <f t="shared" ca="1" si="5"/>
        <v>TinJiangxi New Nanshan Technology Ltd.</v>
      </c>
    </row>
    <row r="33" spans="1:28" s="228" customFormat="1" ht="20.25">
      <c r="A33" s="181" t="s">
        <v>1781</v>
      </c>
      <c r="B33" s="182" t="str">
        <f ca="1">IF(LEN(A33)=0,"",INDEX('Smelter Look-up'!$A:$A,MATCH($A33,'Smelter Look-up'!$E:$E,0)))</f>
        <v>Tin</v>
      </c>
      <c r="C33" s="186" t="str">
        <f ca="1">IF(LEN(A33)=0,"",INDEX('Smelter Look-up'!$C:$C,MATCH($A33,'Smelter Look-up'!$E:$E,0)))</f>
        <v>Metallic Resources, Inc.</v>
      </c>
      <c r="D33" s="233"/>
      <c r="E33" s="182" t="str">
        <f ca="1">IF(ISERROR($V33),"",OFFSET('Smelter Look-up'!$D$4,$V33-4,0)&amp;"")</f>
        <v>UNITED STATES OF AMERICA</v>
      </c>
      <c r="F33" s="182" t="str">
        <f ca="1">IF(ISERROR($V33),"",OFFSET('Smelter Look-up'!$E$4,$V33-4,0))</f>
        <v>CID001142</v>
      </c>
      <c r="G33" s="182" t="str">
        <f ca="1">IF(C33=$X$4,IF(ISERROR($V33),"Enter smelter details","RMI"),IF(ISERROR($V33),"",OFFSET('Smelter Look-up'!$F$4,$V33-4,0)))</f>
        <v>RMI</v>
      </c>
      <c r="H33" s="183">
        <f ca="1">IF(ISERROR($V33),"",OFFSET('Smelter Look-up'!$G$4,$V33-4,0))</f>
        <v>0</v>
      </c>
      <c r="I33" s="184" t="str">
        <f ca="1">IF(ISERROR($V33),"",OFFSET('Smelter Look-up'!$H$4,$V33-4,0))</f>
        <v>Twinsburg</v>
      </c>
      <c r="J33" s="184" t="str">
        <f ca="1">IF(ISERROR($V33),"",OFFSET('Smelter Look-up'!$I$4,$V33-4,0))</f>
        <v>Ohio</v>
      </c>
      <c r="K33" s="225"/>
      <c r="L33" s="225"/>
      <c r="M33" s="225"/>
      <c r="N33" s="225"/>
      <c r="O33" s="225"/>
      <c r="P33" s="185" t="s">
        <v>490</v>
      </c>
      <c r="Q33" s="226"/>
      <c r="R33" s="182" t="str">
        <f ca="1">IF(ISERROR($V33),"",OFFSET('Smelter Look-up'!$C$4,$V33-4,0)&amp;"")</f>
        <v>Metallic Resources, Inc.</v>
      </c>
      <c r="S33" s="181" t="str">
        <f t="shared" ca="1" si="3"/>
        <v>US</v>
      </c>
      <c r="T33" s="181" t="str">
        <f ca="1">IF(B33="","",IF(ISERROR(MATCH($J33,SorP!$B$1:$B$6279,0)),"",INDIRECT("'SorP'!$A$"&amp;MATCH($J33,SorP!$B$1:$B$6279,0))))</f>
        <v>US-OH</v>
      </c>
      <c r="U33" s="201"/>
      <c r="V33" s="227">
        <f ca="1">IF(C33="",NA(),IF(OR(C33="Smelter not listed",C33="Smelter not yet identified"),MATCH($B33&amp;$D33,'Smelter Look-up'!$J:$J,0),MATCH($B33&amp;$C33,'Smelter Look-up'!$J:$J,0)))</f>
        <v>462</v>
      </c>
      <c r="X33" s="228">
        <f t="shared" ca="1" si="4"/>
        <v>0</v>
      </c>
      <c r="AB33" s="229" t="str">
        <f t="shared" ca="1" si="5"/>
        <v>TinMetallic Resources, Inc.</v>
      </c>
    </row>
    <row r="34" spans="1:28" s="228" customFormat="1" ht="20.25">
      <c r="A34" s="181" t="s">
        <v>1817</v>
      </c>
      <c r="B34" s="182" t="str">
        <f ca="1">IF(LEN(A34)=0,"",INDEX('Smelter Look-up'!$A:$A,MATCH($A34,'Smelter Look-up'!$E:$E,0)))</f>
        <v>Tin</v>
      </c>
      <c r="C34" s="186" t="str">
        <f ca="1">IF(LEN(A34)=0,"",INDEX('Smelter Look-up'!$C:$C,MATCH($A34,'Smelter Look-up'!$E:$E,0)))</f>
        <v>Aurubis Berango</v>
      </c>
      <c r="D34" s="233"/>
      <c r="E34" s="182" t="str">
        <f ca="1">IF(ISERROR($V34),"",OFFSET('Smelter Look-up'!$D$4,$V34-4,0)&amp;"")</f>
        <v>SPAIN</v>
      </c>
      <c r="F34" s="182" t="str">
        <f ca="1">IF(ISERROR($V34),"",OFFSET('Smelter Look-up'!$E$4,$V34-4,0))</f>
        <v>CID002774</v>
      </c>
      <c r="G34" s="182" t="str">
        <f ca="1">IF(C34=$X$4,IF(ISERROR($V34),"Enter smelter details","RMI"),IF(ISERROR($V34),"",OFFSET('Smelter Look-up'!$F$4,$V34-4,0)))</f>
        <v>RMI</v>
      </c>
      <c r="H34" s="183">
        <f ca="1">IF(ISERROR($V34),"",OFFSET('Smelter Look-up'!$G$4,$V34-4,0))</f>
        <v>0</v>
      </c>
      <c r="I34" s="184" t="str">
        <f ca="1">IF(ISERROR($V34),"",OFFSET('Smelter Look-up'!$H$4,$V34-4,0))</f>
        <v>Berango</v>
      </c>
      <c r="J34" s="184" t="str">
        <f ca="1">IF(ISERROR($V34),"",OFFSET('Smelter Look-up'!$I$4,$V34-4,0))</f>
        <v>Bizkaia</v>
      </c>
      <c r="K34" s="225"/>
      <c r="L34" s="225"/>
      <c r="M34" s="225"/>
      <c r="N34" s="225"/>
      <c r="O34" s="225"/>
      <c r="P34" s="185" t="s">
        <v>490</v>
      </c>
      <c r="Q34" s="226"/>
      <c r="R34" s="182" t="str">
        <f ca="1">IF(ISERROR($V34),"",OFFSET('Smelter Look-up'!$C$4,$V34-4,0)&amp;"")</f>
        <v>Aurubis Berango</v>
      </c>
      <c r="S34" s="181" t="str">
        <f t="shared" ca="1" si="3"/>
        <v>ES</v>
      </c>
      <c r="T34" s="181" t="str">
        <f ca="1">IF(B34="","",IF(ISERROR(MATCH($J34,SorP!$B$1:$B$6279,0)),"",INDIRECT("'SorP'!$A$"&amp;MATCH($J34,SorP!$B$1:$B$6279,0))))</f>
        <v>ES-BI</v>
      </c>
      <c r="U34" s="201"/>
      <c r="V34" s="227">
        <f ca="1">IF(C34="",NA(),IF(OR(C34="Smelter not listed",C34="Smelter not yet identified"),MATCH($B34&amp;$D34,'Smelter Look-up'!$J:$J,0),MATCH($B34&amp;$C34,'Smelter Look-up'!$J:$J,0)))</f>
        <v>395</v>
      </c>
      <c r="X34" s="228">
        <f t="shared" ca="1" si="4"/>
        <v>0</v>
      </c>
      <c r="AB34" s="229" t="str">
        <f t="shared" ca="1" si="5"/>
        <v>TinAurubis Berango</v>
      </c>
    </row>
    <row r="35" spans="1:28" s="228" customFormat="1" ht="20.25">
      <c r="A35" s="181" t="s">
        <v>772</v>
      </c>
      <c r="B35" s="182" t="str">
        <f ca="1">IF(LEN(A35)=0,"",INDEX('Smelter Look-up'!$A:$A,MATCH($A35,'Smelter Look-up'!$E:$E,0)))</f>
        <v>Tin</v>
      </c>
      <c r="C35" s="186" t="str">
        <f ca="1">IF(LEN(A35)=0,"",INDEX('Smelter Look-up'!$C:$C,MATCH($A35,'Smelter Look-up'!$E:$E,0)))</f>
        <v>Mineracao Taboca S.A.</v>
      </c>
      <c r="D35" s="233"/>
      <c r="E35" s="182" t="str">
        <f ca="1">IF(ISERROR($V35),"",OFFSET('Smelter Look-up'!$D$4,$V35-4,0)&amp;"")</f>
        <v>BRAZIL</v>
      </c>
      <c r="F35" s="182" t="str">
        <f ca="1">IF(ISERROR($V35),"",OFFSET('Smelter Look-up'!$E$4,$V35-4,0))</f>
        <v>CID001173</v>
      </c>
      <c r="G35" s="182" t="str">
        <f ca="1">IF(C35=$X$4,IF(ISERROR($V35),"Enter smelter details","RMI"),IF(ISERROR($V35),"",OFFSET('Smelter Look-up'!$F$4,$V35-4,0)))</f>
        <v>RMI</v>
      </c>
      <c r="H35" s="183">
        <f ca="1">IF(ISERROR($V35),"",OFFSET('Smelter Look-up'!$G$4,$V35-4,0))</f>
        <v>0</v>
      </c>
      <c r="I35" s="184" t="str">
        <f ca="1">IF(ISERROR($V35),"",OFFSET('Smelter Look-up'!$H$4,$V35-4,0))</f>
        <v>Bairro Guarapiranga</v>
      </c>
      <c r="J35" s="184" t="str">
        <f ca="1">IF(ISERROR($V35),"",OFFSET('Smelter Look-up'!$I$4,$V35-4,0))</f>
        <v>São Paulo</v>
      </c>
      <c r="K35" s="225"/>
      <c r="L35" s="225"/>
      <c r="M35" s="225"/>
      <c r="N35" s="225"/>
      <c r="O35" s="225"/>
      <c r="P35" s="185" t="s">
        <v>490</v>
      </c>
      <c r="Q35" s="226"/>
      <c r="R35" s="182" t="str">
        <f ca="1">IF(ISERROR($V35),"",OFFSET('Smelter Look-up'!$C$4,$V35-4,0)&amp;"")</f>
        <v>Mineracao Taboca S.A.</v>
      </c>
      <c r="S35" s="181" t="str">
        <f t="shared" ca="1" si="3"/>
        <v>BR</v>
      </c>
      <c r="T35" s="181" t="str">
        <f ca="1">IF(B35="","",IF(ISERROR(MATCH($J35,SorP!$B$1:$B$6279,0)),"",INDIRECT("'SorP'!$A$"&amp;MATCH($J35,SorP!$B$1:$B$6279,0))))</f>
        <v>BR-SP</v>
      </c>
      <c r="U35" s="201"/>
      <c r="V35" s="227">
        <f ca="1">IF(C35="",NA(),IF(OR(C35="Smelter not listed",C35="Smelter not yet identified"),MATCH($B35&amp;$D35,'Smelter Look-up'!$J:$J,0),MATCH($B35&amp;$C35,'Smelter Look-up'!$J:$J,0)))</f>
        <v>465</v>
      </c>
      <c r="X35" s="228">
        <f t="shared" ca="1" si="4"/>
        <v>0</v>
      </c>
      <c r="AB35" s="229" t="str">
        <f t="shared" ca="1" si="5"/>
        <v>TinMineracao Taboca S.A.</v>
      </c>
    </row>
    <row r="36" spans="1:28" s="228" customFormat="1" ht="20.25">
      <c r="A36" s="181" t="s">
        <v>778</v>
      </c>
      <c r="B36" s="182" t="str">
        <f ca="1">IF(LEN(A36)=0,"",INDEX('Smelter Look-up'!$A:$A,MATCH($A36,'Smelter Look-up'!$E:$E,0)))</f>
        <v>Tin</v>
      </c>
      <c r="C36" s="186" t="str">
        <f ca="1">IF(LEN(A36)=0,"",INDEX('Smelter Look-up'!$C:$C,MATCH($A36,'Smelter Look-up'!$E:$E,0)))</f>
        <v>PT Artha Cipta Langgeng</v>
      </c>
      <c r="D36" s="233"/>
      <c r="E36" s="182" t="str">
        <f ca="1">IF(ISERROR($V36),"",OFFSET('Smelter Look-up'!$D$4,$V36-4,0)&amp;"")</f>
        <v>INDONESIA</v>
      </c>
      <c r="F36" s="182" t="str">
        <f ca="1">IF(ISERROR($V36),"",OFFSET('Smelter Look-up'!$E$4,$V36-4,0))</f>
        <v>CID001399</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5"/>
      <c r="L36" s="225"/>
      <c r="M36" s="225"/>
      <c r="N36" s="225"/>
      <c r="O36" s="225"/>
      <c r="P36" s="185" t="s">
        <v>490</v>
      </c>
      <c r="Q36" s="226"/>
      <c r="R36" s="182" t="str">
        <f ca="1">IF(ISERROR($V36),"",OFFSET('Smelter Look-up'!$C$4,$V36-4,0)&amp;"")</f>
        <v>PT Artha Cipta Langgeng</v>
      </c>
      <c r="S36" s="181" t="str">
        <f t="shared" ca="1" si="3"/>
        <v>ID</v>
      </c>
      <c r="T36" s="181" t="str">
        <f ca="1">IF(B36="","",IF(ISERROR(MATCH($J36,SorP!$B$1:$B$6279,0)),"",INDIRECT("'SorP'!$A$"&amp;MATCH($J36,SorP!$B$1:$B$6279,0))))</f>
        <v>ID-BB</v>
      </c>
      <c r="U36" s="201"/>
      <c r="V36" s="227">
        <f ca="1">IF(C36="",NA(),IF(OR(C36="Smelter not listed",C36="Smelter not yet identified"),MATCH($B36&amp;$D36,'Smelter Look-up'!$J:$J,0),MATCH($B36&amp;$C36,'Smelter Look-up'!$J:$J,0)))</f>
        <v>487</v>
      </c>
      <c r="X36" s="228">
        <f t="shared" ca="1" si="4"/>
        <v>0</v>
      </c>
      <c r="AB36" s="229" t="str">
        <f t="shared" ca="1" si="5"/>
        <v>TinPT Artha Cipta Langgeng</v>
      </c>
    </row>
    <row r="37" spans="1:28" s="228" customFormat="1" ht="20.25">
      <c r="A37" s="181" t="s">
        <v>783</v>
      </c>
      <c r="B37" s="182" t="str">
        <f ca="1">IF(LEN(A37)=0,"",INDEX('Smelter Look-up'!$A:$A,MATCH($A37,'Smelter Look-up'!$E:$E,0)))</f>
        <v>Tin</v>
      </c>
      <c r="C37" s="186" t="str">
        <f ca="1">IF(LEN(A37)=0,"",INDEX('Smelter Look-up'!$C:$C,MATCH($A37,'Smelter Look-up'!$E:$E,0)))</f>
        <v>Rui Da Hung</v>
      </c>
      <c r="D37" s="233"/>
      <c r="E37" s="182" t="str">
        <f ca="1">IF(ISERROR($V37),"",OFFSET('Smelter Look-up'!$D$4,$V37-4,0)&amp;"")</f>
        <v>TAIWAN, PROVINCE OF CHINA</v>
      </c>
      <c r="F37" s="182" t="str">
        <f ca="1">IF(ISERROR($V37),"",OFFSET('Smelter Look-up'!$E$4,$V37-4,0))</f>
        <v>CID001539</v>
      </c>
      <c r="G37" s="182" t="str">
        <f ca="1">IF(C37=$X$4,IF(ISERROR($V37),"Enter smelter details","RMI"),IF(ISERROR($V37),"",OFFSET('Smelter Look-up'!$F$4,$V37-4,0)))</f>
        <v>RMI</v>
      </c>
      <c r="H37" s="183">
        <f ca="1">IF(ISERROR($V37),"",OFFSET('Smelter Look-up'!$G$4,$V37-4,0))</f>
        <v>0</v>
      </c>
      <c r="I37" s="184" t="str">
        <f ca="1">IF(ISERROR($V37),"",OFFSET('Smelter Look-up'!$H$4,$V37-4,0))</f>
        <v>Longtan Shiang Taoyuan</v>
      </c>
      <c r="J37" s="184" t="str">
        <f ca="1">IF(ISERROR($V37),"",OFFSET('Smelter Look-up'!$I$4,$V37-4,0))</f>
        <v>Taoyuan</v>
      </c>
      <c r="K37" s="225"/>
      <c r="L37" s="225"/>
      <c r="M37" s="225"/>
      <c r="N37" s="225"/>
      <c r="O37" s="225"/>
      <c r="P37" s="185" t="s">
        <v>490</v>
      </c>
      <c r="Q37" s="226"/>
      <c r="R37" s="182" t="str">
        <f ca="1">IF(ISERROR($V37),"",OFFSET('Smelter Look-up'!$C$4,$V37-4,0)&amp;"")</f>
        <v>Rui Da Hung</v>
      </c>
      <c r="S37" s="181" t="str">
        <f t="shared" ca="1" si="3"/>
        <v>TW</v>
      </c>
      <c r="T37" s="181" t="str">
        <f ca="1">IF(B37="","",IF(ISERROR(MATCH($J37,SorP!$B$1:$B$6279,0)),"",INDIRECT("'SorP'!$A$"&amp;MATCH($J37,SorP!$B$1:$B$6279,0))))</f>
        <v>TW-TAO</v>
      </c>
      <c r="U37" s="201"/>
      <c r="V37" s="227">
        <f ca="1">IF(C37="",NA(),IF(OR(C37="Smelter not listed",C37="Smelter not yet identified"),MATCH($B37&amp;$D37,'Smelter Look-up'!$J:$J,0),MATCH($B37&amp;$C37,'Smelter Look-up'!$J:$J,0)))</f>
        <v>521</v>
      </c>
      <c r="X37" s="228">
        <f t="shared" ca="1" si="4"/>
        <v>0</v>
      </c>
      <c r="AB37" s="229" t="str">
        <f t="shared" ca="1" si="5"/>
        <v>TinRui Da Hung</v>
      </c>
    </row>
    <row r="38" spans="1:28" s="228" customFormat="1" ht="20.25">
      <c r="A38" s="181" t="s">
        <v>786</v>
      </c>
      <c r="B38" s="182" t="str">
        <f ca="1">IF(LEN(A38)=0,"",INDEX('Smelter Look-up'!$A:$A,MATCH($A38,'Smelter Look-up'!$E:$E,0)))</f>
        <v>Tin</v>
      </c>
      <c r="C38" s="186" t="str">
        <f ca="1">IF(LEN(A38)=0,"",INDEX('Smelter Look-up'!$C:$C,MATCH($A38,'Smelter Look-up'!$E:$E,0)))</f>
        <v>Yunnan Chengfeng Non-ferrous Metals Co., Ltd.</v>
      </c>
      <c r="D38" s="233"/>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5"/>
      <c r="L38" s="225"/>
      <c r="M38" s="225"/>
      <c r="N38" s="225"/>
      <c r="O38" s="225"/>
      <c r="P38" s="185" t="s">
        <v>490</v>
      </c>
      <c r="Q38" s="226"/>
      <c r="R38" s="182" t="str">
        <f ca="1">IF(ISERROR($V38),"",OFFSET('Smelter Look-up'!$C$4,$V38-4,0)&amp;"")</f>
        <v>Yunnan Chengfeng Non-ferrous Metals Co., Ltd.</v>
      </c>
      <c r="S38" s="181" t="str">
        <f t="shared" ref="S38:S68" ca="1" si="6">IF(B38="","",IF(ISERROR(MATCH($E38,CL,0)),"Unknown",INDIRECT("'C'!$A$"&amp;MATCH($E38,CL,0)+1)))</f>
        <v>CN</v>
      </c>
      <c r="T38" s="181" t="str">
        <f ca="1">IF(B38="","",IF(ISERROR(MATCH($J38,SorP!$B$1:$B$6279,0)),"",INDIRECT("'SorP'!$A$"&amp;MATCH($J38,SorP!$B$1:$B$6279,0))))</f>
        <v>CN-YN</v>
      </c>
      <c r="U38" s="201"/>
      <c r="V38" s="227">
        <f ca="1">IF(C38="",NA(),IF(OR(C38="Smelter not listed",C38="Smelter not yet identified"),MATCH($B38&amp;$D38,'Smelter Look-up'!$J:$J,0),MATCH($B38&amp;$C38,'Smelter Look-up'!$J:$J,0)))</f>
        <v>543</v>
      </c>
      <c r="X38" s="228">
        <f t="shared" ref="X38:X68" ca="1" si="7">IF(AND(C38="Smelter not listed",OR(LEN(D38)=0,LEN(E38)=0)),1,0)</f>
        <v>0</v>
      </c>
      <c r="AB38" s="229" t="str">
        <f t="shared" ref="AB38:AB68" ca="1" si="8">B38&amp;C38</f>
        <v>TinYunnan Chengfeng Non-ferrous Metals Co., Ltd.</v>
      </c>
    </row>
    <row r="39" spans="1:28" s="228" customFormat="1" ht="20.25">
      <c r="A39" s="181" t="s">
        <v>666</v>
      </c>
      <c r="B39" s="182" t="str">
        <f ca="1">IF(LEN(A39)=0,"",INDEX('Smelter Look-up'!$A:$A,MATCH($A39,'Smelter Look-up'!$E:$E,0)))</f>
        <v>Gold</v>
      </c>
      <c r="C39" s="186" t="str">
        <f ca="1">IF(LEN(A39)=0,"",INDEX('Smelter Look-up'!$C:$C,MATCH($A39,'Smelter Look-up'!$E:$E,0)))</f>
        <v>Chimet S.p.A.</v>
      </c>
      <c r="D39" s="233"/>
      <c r="E39" s="182" t="str">
        <f ca="1">IF(ISERROR($V39),"",OFFSET('Smelter Look-up'!$D$4,$V39-4,0)&amp;"")</f>
        <v>ITALY</v>
      </c>
      <c r="F39" s="182" t="str">
        <f ca="1">IF(ISERROR($V39),"",OFFSET('Smelter Look-up'!$E$4,$V39-4,0))</f>
        <v>CID000233</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5"/>
      <c r="L39" s="225"/>
      <c r="M39" s="225"/>
      <c r="N39" s="225"/>
      <c r="O39" s="225"/>
      <c r="P39" s="185" t="s">
        <v>490</v>
      </c>
      <c r="Q39" s="226"/>
      <c r="R39" s="182" t="str">
        <f ca="1">IF(ISERROR($V39),"",OFFSET('Smelter Look-up'!$C$4,$V39-4,0)&amp;"")</f>
        <v>Chimet S.p.A.</v>
      </c>
      <c r="S39" s="181" t="str">
        <f t="shared" ca="1" si="6"/>
        <v>IT</v>
      </c>
      <c r="T39" s="181" t="str">
        <f ca="1">IF(B39="","",IF(ISERROR(MATCH($J39,SorP!$B$1:$B$6279,0)),"",INDIRECT("'SorP'!$A$"&amp;MATCH($J39,SorP!$B$1:$B$6279,0))))</f>
        <v>IT-52</v>
      </c>
      <c r="U39" s="201"/>
      <c r="V39" s="227">
        <f ca="1">IF(C39="",NA(),IF(OR(C39="Smelter not listed",C39="Smelter not yet identified"),MATCH($B39&amp;$D39,'Smelter Look-up'!$J:$J,0),MATCH($B39&amp;$C39,'Smelter Look-up'!$J:$J,0)))</f>
        <v>55</v>
      </c>
      <c r="X39" s="228">
        <f t="shared" ca="1" si="7"/>
        <v>0</v>
      </c>
      <c r="AB39" s="229" t="str">
        <f t="shared" ca="1" si="8"/>
        <v>GoldChimet S.p.A.</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9831008-256C-40F4-BFCC-464DA2C594DB}"/>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Valid for all Products from Isabellenhütte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004927719348205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4"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100%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Schunder</cp:lastModifiedBy>
  <cp:lastPrinted>2015-04-21T20:47:43Z</cp:lastPrinted>
  <dcterms:created xsi:type="dcterms:W3CDTF">2010-06-21T21:00:23Z</dcterms:created>
  <dcterms:modified xsi:type="dcterms:W3CDTF">2023-05-15T11:39:18Z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